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W00004412\Desktop\"/>
    </mc:Choice>
  </mc:AlternateContent>
  <bookViews>
    <workbookView xWindow="0" yWindow="0" windowWidth="28800" windowHeight="12210"/>
  </bookViews>
  <sheets>
    <sheet name="Kunden (2)" sheetId="1" r:id="rId1"/>
  </sheets>
  <externalReferences>
    <externalReference r:id="rId2"/>
  </externalReferences>
  <definedNames>
    <definedName name="SAPBEXrevision" hidden="1">1</definedName>
    <definedName name="SAPBEXsysID" hidden="1">"EB2"</definedName>
    <definedName name="SAPBEXwbID" hidden="1">"6YLX12692VSN4NUC8MCFPZPNO"</definedName>
    <definedName name="SAPCrosstab17" localSheetId="0">#REF!</definedName>
    <definedName name="SAPCrosstab17">#REF!</definedName>
    <definedName name="SAPCrosstab5" localSheetId="0">'Kunden (2)'!$M$1:$U$360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60" i="1" l="1"/>
  <c r="V360" i="1"/>
  <c r="W359" i="1"/>
  <c r="V359" i="1"/>
  <c r="W358" i="1"/>
  <c r="V358" i="1"/>
  <c r="W357" i="1"/>
  <c r="V357" i="1"/>
  <c r="W356" i="1"/>
  <c r="V356" i="1"/>
  <c r="W355" i="1"/>
  <c r="V355" i="1"/>
  <c r="W354" i="1"/>
  <c r="V354" i="1"/>
  <c r="W353" i="1"/>
  <c r="V353" i="1"/>
  <c r="W352" i="1"/>
  <c r="V352" i="1"/>
  <c r="W351" i="1"/>
  <c r="V351" i="1"/>
  <c r="W350" i="1"/>
  <c r="V350" i="1"/>
  <c r="W349" i="1"/>
  <c r="V349" i="1"/>
  <c r="W348" i="1"/>
  <c r="V348" i="1"/>
  <c r="W347" i="1"/>
  <c r="V347" i="1"/>
  <c r="W346" i="1"/>
  <c r="V346" i="1"/>
  <c r="W345" i="1"/>
  <c r="V345" i="1"/>
  <c r="W344" i="1"/>
  <c r="V344" i="1"/>
  <c r="W343" i="1"/>
  <c r="V343" i="1"/>
  <c r="W342" i="1"/>
  <c r="V342" i="1"/>
  <c r="W341" i="1"/>
  <c r="V341" i="1"/>
  <c r="W340" i="1"/>
  <c r="V340" i="1"/>
  <c r="W339" i="1"/>
  <c r="V339" i="1"/>
  <c r="W338" i="1"/>
  <c r="V338" i="1"/>
  <c r="W337" i="1"/>
  <c r="V337" i="1"/>
  <c r="W336" i="1"/>
  <c r="V336" i="1"/>
  <c r="W335" i="1"/>
  <c r="V335" i="1"/>
  <c r="W334" i="1"/>
  <c r="V334" i="1"/>
  <c r="W333" i="1"/>
  <c r="V333" i="1"/>
  <c r="W332" i="1"/>
  <c r="V332" i="1"/>
  <c r="W331" i="1"/>
  <c r="V331" i="1"/>
  <c r="W330" i="1"/>
  <c r="V330" i="1"/>
  <c r="W329" i="1"/>
  <c r="V329" i="1"/>
  <c r="W328" i="1"/>
  <c r="V328" i="1"/>
  <c r="W327" i="1"/>
  <c r="V327" i="1"/>
  <c r="W326" i="1"/>
  <c r="V326" i="1"/>
  <c r="W325" i="1"/>
  <c r="V325" i="1"/>
  <c r="W324" i="1"/>
  <c r="V324" i="1"/>
  <c r="W323" i="1"/>
  <c r="V323" i="1"/>
  <c r="W322" i="1"/>
  <c r="V322" i="1"/>
  <c r="W321" i="1"/>
  <c r="V321" i="1"/>
  <c r="W320" i="1"/>
  <c r="V320" i="1"/>
  <c r="W319" i="1"/>
  <c r="V319" i="1"/>
  <c r="W318" i="1"/>
  <c r="V318" i="1"/>
  <c r="W317" i="1"/>
  <c r="V317" i="1"/>
  <c r="W316" i="1"/>
  <c r="V316" i="1"/>
  <c r="W315" i="1"/>
  <c r="V315" i="1"/>
  <c r="W314" i="1"/>
  <c r="V314" i="1"/>
  <c r="W313" i="1"/>
  <c r="V313" i="1"/>
  <c r="W312" i="1"/>
  <c r="V312" i="1"/>
  <c r="W311" i="1"/>
  <c r="V311" i="1"/>
  <c r="W310" i="1"/>
  <c r="V310" i="1"/>
  <c r="W309" i="1"/>
  <c r="V309" i="1"/>
  <c r="W308" i="1"/>
  <c r="V308" i="1"/>
  <c r="W307" i="1"/>
  <c r="V307" i="1"/>
  <c r="W306" i="1"/>
  <c r="V306" i="1"/>
  <c r="W305" i="1"/>
  <c r="V305" i="1"/>
  <c r="W304" i="1"/>
  <c r="V304" i="1"/>
  <c r="W303" i="1"/>
  <c r="V303" i="1"/>
  <c r="W302" i="1"/>
  <c r="V302" i="1"/>
  <c r="W301" i="1"/>
  <c r="V301" i="1"/>
  <c r="W300" i="1"/>
  <c r="V300" i="1"/>
  <c r="W299" i="1"/>
  <c r="V299" i="1"/>
  <c r="W298" i="1"/>
  <c r="V298" i="1"/>
  <c r="W297" i="1"/>
  <c r="V297" i="1"/>
  <c r="W296" i="1"/>
  <c r="V296" i="1"/>
  <c r="W295" i="1"/>
  <c r="V295" i="1"/>
  <c r="W294" i="1"/>
  <c r="V294" i="1"/>
  <c r="W293" i="1"/>
  <c r="V293" i="1"/>
  <c r="W292" i="1"/>
  <c r="V292" i="1"/>
  <c r="W291" i="1"/>
  <c r="V291" i="1"/>
  <c r="W290" i="1"/>
  <c r="V290" i="1"/>
  <c r="W289" i="1"/>
  <c r="V289" i="1"/>
  <c r="W288" i="1"/>
  <c r="V288" i="1"/>
  <c r="W287" i="1"/>
  <c r="V287" i="1"/>
  <c r="W286" i="1"/>
  <c r="V286" i="1"/>
  <c r="W285" i="1"/>
  <c r="V285" i="1"/>
  <c r="W284" i="1"/>
  <c r="V284" i="1"/>
  <c r="W283" i="1"/>
  <c r="V283" i="1"/>
  <c r="W282" i="1"/>
  <c r="V282" i="1"/>
  <c r="W281" i="1"/>
  <c r="V281" i="1"/>
  <c r="W280" i="1"/>
  <c r="V280" i="1"/>
  <c r="W279" i="1"/>
  <c r="V279" i="1"/>
  <c r="W278" i="1"/>
  <c r="V278" i="1"/>
  <c r="W277" i="1"/>
  <c r="V277" i="1"/>
  <c r="W276" i="1"/>
  <c r="V276" i="1"/>
  <c r="W275" i="1"/>
  <c r="V275" i="1"/>
  <c r="W274" i="1"/>
  <c r="V274" i="1"/>
  <c r="W273" i="1"/>
  <c r="V273" i="1"/>
  <c r="W272" i="1"/>
  <c r="V272" i="1"/>
  <c r="W271" i="1"/>
  <c r="V271" i="1"/>
  <c r="W270" i="1"/>
  <c r="V270" i="1"/>
  <c r="W269" i="1"/>
  <c r="V269" i="1"/>
  <c r="W268" i="1"/>
  <c r="V268" i="1"/>
  <c r="W267" i="1"/>
  <c r="V267" i="1"/>
  <c r="W266" i="1"/>
  <c r="V266" i="1"/>
  <c r="W265" i="1"/>
  <c r="V265" i="1"/>
  <c r="W264" i="1"/>
  <c r="V264" i="1"/>
  <c r="W263" i="1"/>
  <c r="V263" i="1"/>
  <c r="W262" i="1"/>
  <c r="V262" i="1"/>
  <c r="W261" i="1"/>
  <c r="V261" i="1"/>
  <c r="W260" i="1"/>
  <c r="V260" i="1"/>
  <c r="W259" i="1"/>
  <c r="V259" i="1"/>
  <c r="W258" i="1"/>
  <c r="V258" i="1"/>
  <c r="W257" i="1"/>
  <c r="V257" i="1"/>
  <c r="W256" i="1"/>
  <c r="V256" i="1"/>
  <c r="W255" i="1"/>
  <c r="V255" i="1"/>
  <c r="W254" i="1"/>
  <c r="V254" i="1"/>
  <c r="W253" i="1"/>
  <c r="V253" i="1"/>
  <c r="W252" i="1"/>
  <c r="V252" i="1"/>
  <c r="W251" i="1"/>
  <c r="V251" i="1"/>
  <c r="W250" i="1"/>
  <c r="V250" i="1"/>
  <c r="W249" i="1"/>
  <c r="V249" i="1"/>
  <c r="W248" i="1"/>
  <c r="V248" i="1"/>
  <c r="W247" i="1"/>
  <c r="V247" i="1"/>
  <c r="W246" i="1"/>
  <c r="V246" i="1"/>
  <c r="W245" i="1"/>
  <c r="V245" i="1"/>
  <c r="W244" i="1"/>
  <c r="V244" i="1"/>
  <c r="W243" i="1"/>
  <c r="V243" i="1"/>
  <c r="W242" i="1"/>
  <c r="V242" i="1"/>
  <c r="W241" i="1"/>
  <c r="V241" i="1"/>
  <c r="W240" i="1"/>
  <c r="V240" i="1"/>
  <c r="W239" i="1"/>
  <c r="V239" i="1"/>
  <c r="W238" i="1"/>
  <c r="V238" i="1"/>
  <c r="W237" i="1"/>
  <c r="V237" i="1"/>
  <c r="W236" i="1"/>
  <c r="V236" i="1"/>
  <c r="W235" i="1"/>
  <c r="V235" i="1"/>
  <c r="W234" i="1"/>
  <c r="V234" i="1"/>
  <c r="W233" i="1"/>
  <c r="V233" i="1"/>
  <c r="W232" i="1"/>
  <c r="V232" i="1"/>
  <c r="W231" i="1"/>
  <c r="V231" i="1"/>
  <c r="W230" i="1"/>
  <c r="V230" i="1"/>
  <c r="W229" i="1"/>
  <c r="V229" i="1"/>
  <c r="W228" i="1"/>
  <c r="V228" i="1"/>
  <c r="W227" i="1"/>
  <c r="V227" i="1"/>
  <c r="W226" i="1"/>
  <c r="V226" i="1"/>
  <c r="W225" i="1"/>
  <c r="V225" i="1"/>
  <c r="W224" i="1"/>
  <c r="V224" i="1"/>
  <c r="W223" i="1"/>
  <c r="V223" i="1"/>
  <c r="W222" i="1"/>
  <c r="V222" i="1"/>
  <c r="W221" i="1"/>
  <c r="V221" i="1"/>
  <c r="W220" i="1"/>
  <c r="V220" i="1"/>
  <c r="W219" i="1"/>
  <c r="V219" i="1"/>
  <c r="W218" i="1"/>
  <c r="V218" i="1"/>
  <c r="W217" i="1"/>
  <c r="V217" i="1"/>
  <c r="W216" i="1"/>
  <c r="V216" i="1"/>
  <c r="W215" i="1"/>
  <c r="V215" i="1"/>
  <c r="W214" i="1"/>
  <c r="V214" i="1"/>
  <c r="W213" i="1"/>
  <c r="V213" i="1"/>
  <c r="W212" i="1"/>
  <c r="V212" i="1"/>
  <c r="W211" i="1"/>
  <c r="V211" i="1"/>
  <c r="W210" i="1"/>
  <c r="V210" i="1"/>
  <c r="W209" i="1"/>
  <c r="V209" i="1"/>
  <c r="W208" i="1"/>
  <c r="V208" i="1"/>
  <c r="W207" i="1"/>
  <c r="V207" i="1"/>
  <c r="W206" i="1"/>
  <c r="V206" i="1"/>
  <c r="W205" i="1"/>
  <c r="V205" i="1"/>
  <c r="W204" i="1"/>
  <c r="V204" i="1"/>
  <c r="W203" i="1"/>
  <c r="V203" i="1"/>
  <c r="W202" i="1"/>
  <c r="V202" i="1"/>
  <c r="W201" i="1"/>
  <c r="V201" i="1"/>
  <c r="W200" i="1"/>
  <c r="V200" i="1"/>
  <c r="W199" i="1"/>
  <c r="V199" i="1"/>
  <c r="W198" i="1"/>
  <c r="V198" i="1"/>
  <c r="W197" i="1"/>
  <c r="V197" i="1"/>
  <c r="W196" i="1"/>
  <c r="V196" i="1"/>
  <c r="W195" i="1"/>
  <c r="V195" i="1"/>
  <c r="W194" i="1"/>
  <c r="V194" i="1"/>
  <c r="W193" i="1"/>
  <c r="V193" i="1"/>
  <c r="W192" i="1"/>
  <c r="V192" i="1"/>
  <c r="W191" i="1"/>
  <c r="V191" i="1"/>
  <c r="W190" i="1"/>
  <c r="V190" i="1"/>
  <c r="W189" i="1"/>
  <c r="V189" i="1"/>
  <c r="W188" i="1"/>
  <c r="V188" i="1"/>
  <c r="W187" i="1"/>
  <c r="V187" i="1"/>
  <c r="W186" i="1"/>
  <c r="V186" i="1"/>
  <c r="W185" i="1"/>
  <c r="V185" i="1"/>
  <c r="W184" i="1"/>
  <c r="V184" i="1"/>
  <c r="W183" i="1"/>
  <c r="V183" i="1"/>
  <c r="W182" i="1"/>
  <c r="V182" i="1"/>
  <c r="W181" i="1"/>
  <c r="V181" i="1"/>
  <c r="W180" i="1"/>
  <c r="V180" i="1"/>
  <c r="W179" i="1"/>
  <c r="V179" i="1"/>
  <c r="W178" i="1"/>
  <c r="V178" i="1"/>
  <c r="W177" i="1"/>
  <c r="V177" i="1"/>
  <c r="W176" i="1"/>
  <c r="V176" i="1"/>
  <c r="W175" i="1"/>
  <c r="V175" i="1"/>
  <c r="W174" i="1"/>
  <c r="V174" i="1"/>
  <c r="W173" i="1"/>
  <c r="V173" i="1"/>
  <c r="W172" i="1"/>
  <c r="V172" i="1"/>
  <c r="W171" i="1"/>
  <c r="V171" i="1"/>
  <c r="W170" i="1"/>
  <c r="V170" i="1"/>
  <c r="W169" i="1"/>
  <c r="V169" i="1"/>
  <c r="W168" i="1"/>
  <c r="V168" i="1"/>
  <c r="W167" i="1"/>
  <c r="V167" i="1"/>
  <c r="W166" i="1"/>
  <c r="V166" i="1"/>
  <c r="W165" i="1"/>
  <c r="V165" i="1"/>
  <c r="W164" i="1"/>
  <c r="V164" i="1"/>
  <c r="W163" i="1"/>
  <c r="V163" i="1"/>
  <c r="W162" i="1"/>
  <c r="V162" i="1"/>
  <c r="W161" i="1"/>
  <c r="V161" i="1"/>
  <c r="W160" i="1"/>
  <c r="V160" i="1"/>
  <c r="W159" i="1"/>
  <c r="V159" i="1"/>
  <c r="W158" i="1"/>
  <c r="V158" i="1"/>
  <c r="W157" i="1"/>
  <c r="V157" i="1"/>
  <c r="W156" i="1"/>
  <c r="V156" i="1"/>
  <c r="W155" i="1"/>
  <c r="V155" i="1"/>
  <c r="W154" i="1"/>
  <c r="V154" i="1"/>
  <c r="W153" i="1"/>
  <c r="V153" i="1"/>
  <c r="W152" i="1"/>
  <c r="V152" i="1"/>
  <c r="W151" i="1"/>
  <c r="V151" i="1"/>
  <c r="W150" i="1"/>
  <c r="V150" i="1"/>
  <c r="W149" i="1"/>
  <c r="V149" i="1"/>
  <c r="W148" i="1"/>
  <c r="V148" i="1"/>
  <c r="W147" i="1"/>
  <c r="V147" i="1"/>
  <c r="W146" i="1"/>
  <c r="V146" i="1"/>
  <c r="W145" i="1"/>
  <c r="V145" i="1"/>
  <c r="W144" i="1"/>
  <c r="V144" i="1"/>
  <c r="W143" i="1"/>
  <c r="V143" i="1"/>
  <c r="W142" i="1"/>
  <c r="V142" i="1"/>
  <c r="W141" i="1"/>
  <c r="V141" i="1"/>
  <c r="W140" i="1"/>
  <c r="V140" i="1"/>
  <c r="W139" i="1"/>
  <c r="V139" i="1"/>
  <c r="W138" i="1"/>
  <c r="V138" i="1"/>
  <c r="W137" i="1"/>
  <c r="V137" i="1"/>
  <c r="W136" i="1"/>
  <c r="V136" i="1"/>
  <c r="W135" i="1"/>
  <c r="V135" i="1"/>
  <c r="W134" i="1"/>
  <c r="V134" i="1"/>
  <c r="W133" i="1"/>
  <c r="V133" i="1"/>
  <c r="W132" i="1"/>
  <c r="V132" i="1"/>
  <c r="W131" i="1"/>
  <c r="V131" i="1"/>
  <c r="W130" i="1"/>
  <c r="V130" i="1"/>
  <c r="W129" i="1"/>
  <c r="V129" i="1"/>
  <c r="W128" i="1"/>
  <c r="V128" i="1"/>
  <c r="W127" i="1"/>
  <c r="V127" i="1"/>
  <c r="W126" i="1"/>
  <c r="V126" i="1"/>
  <c r="W125" i="1"/>
  <c r="V125" i="1"/>
  <c r="W124" i="1"/>
  <c r="V124" i="1"/>
  <c r="W123" i="1"/>
  <c r="V123" i="1"/>
  <c r="W122" i="1"/>
  <c r="V122" i="1"/>
  <c r="W121" i="1"/>
  <c r="V121" i="1"/>
  <c r="W120" i="1"/>
  <c r="V120" i="1"/>
  <c r="W119" i="1"/>
  <c r="V119" i="1"/>
  <c r="W118" i="1"/>
  <c r="V118" i="1"/>
  <c r="W117" i="1"/>
  <c r="V117" i="1"/>
  <c r="W116" i="1"/>
  <c r="V116" i="1"/>
  <c r="W115" i="1"/>
  <c r="V115" i="1"/>
  <c r="W114" i="1"/>
  <c r="V114" i="1"/>
  <c r="W113" i="1"/>
  <c r="V113" i="1"/>
  <c r="W112" i="1"/>
  <c r="V112" i="1"/>
  <c r="W111" i="1"/>
  <c r="V111" i="1"/>
  <c r="W110" i="1"/>
  <c r="V110" i="1"/>
  <c r="W109" i="1"/>
  <c r="V109" i="1"/>
  <c r="W108" i="1"/>
  <c r="V108" i="1"/>
  <c r="W107" i="1"/>
  <c r="V107" i="1"/>
  <c r="W106" i="1"/>
  <c r="V106" i="1"/>
  <c r="W105" i="1"/>
  <c r="V105" i="1"/>
  <c r="W104" i="1"/>
  <c r="V104" i="1"/>
  <c r="W103" i="1"/>
  <c r="V103" i="1"/>
  <c r="W102" i="1"/>
  <c r="V102" i="1"/>
  <c r="W101" i="1"/>
  <c r="V101" i="1"/>
  <c r="W100" i="1"/>
  <c r="V100" i="1"/>
  <c r="W99" i="1"/>
  <c r="V99" i="1"/>
  <c r="W98" i="1"/>
  <c r="V98" i="1"/>
  <c r="W97" i="1"/>
  <c r="V97" i="1"/>
  <c r="W96" i="1"/>
  <c r="V96" i="1"/>
  <c r="W95" i="1"/>
  <c r="V95" i="1"/>
  <c r="W94" i="1"/>
  <c r="V94" i="1"/>
  <c r="W93" i="1"/>
  <c r="V93" i="1"/>
  <c r="W92" i="1"/>
  <c r="V92" i="1"/>
  <c r="W91" i="1"/>
  <c r="V91" i="1"/>
  <c r="W90" i="1"/>
  <c r="V90" i="1"/>
  <c r="W89" i="1"/>
  <c r="V89" i="1"/>
  <c r="W88" i="1"/>
  <c r="V88" i="1"/>
  <c r="W87" i="1"/>
  <c r="V87" i="1"/>
  <c r="W86" i="1"/>
  <c r="V86" i="1"/>
  <c r="W85" i="1"/>
  <c r="V85" i="1"/>
  <c r="W84" i="1"/>
  <c r="V84" i="1"/>
  <c r="W83" i="1"/>
  <c r="V83" i="1"/>
  <c r="W82" i="1"/>
  <c r="V82" i="1"/>
  <c r="W81" i="1"/>
  <c r="V81" i="1"/>
  <c r="W80" i="1"/>
  <c r="V80" i="1"/>
  <c r="W79" i="1"/>
  <c r="V79" i="1"/>
  <c r="W78" i="1"/>
  <c r="V78" i="1"/>
  <c r="W77" i="1"/>
  <c r="V77" i="1"/>
  <c r="W76" i="1"/>
  <c r="V76" i="1"/>
  <c r="W75" i="1"/>
  <c r="V75" i="1"/>
  <c r="W74" i="1"/>
  <c r="V74" i="1"/>
  <c r="W73" i="1"/>
  <c r="V73" i="1"/>
  <c r="W72" i="1"/>
  <c r="V72" i="1"/>
  <c r="W71" i="1"/>
  <c r="V71" i="1"/>
  <c r="W70" i="1"/>
  <c r="V70" i="1"/>
  <c r="W69" i="1"/>
  <c r="V69" i="1"/>
  <c r="W68" i="1"/>
  <c r="V68" i="1"/>
  <c r="W67" i="1"/>
  <c r="V67" i="1"/>
  <c r="W66" i="1"/>
  <c r="V66" i="1"/>
  <c r="W65" i="1"/>
  <c r="V65" i="1"/>
  <c r="W64" i="1"/>
  <c r="V64" i="1"/>
  <c r="W63" i="1"/>
  <c r="V63" i="1"/>
  <c r="W62" i="1"/>
  <c r="V62" i="1"/>
  <c r="W61" i="1"/>
  <c r="V61" i="1"/>
  <c r="W60" i="1"/>
  <c r="V60" i="1"/>
  <c r="W59" i="1"/>
  <c r="V59" i="1"/>
  <c r="W58" i="1"/>
  <c r="V58" i="1"/>
  <c r="W57" i="1"/>
  <c r="V57" i="1"/>
  <c r="W56" i="1"/>
  <c r="V56" i="1"/>
  <c r="W55" i="1"/>
  <c r="V55" i="1"/>
  <c r="W54" i="1"/>
  <c r="V54" i="1"/>
  <c r="W53" i="1"/>
  <c r="V53" i="1"/>
  <c r="W52" i="1"/>
  <c r="V52" i="1"/>
  <c r="W51" i="1"/>
  <c r="V51" i="1"/>
  <c r="W50" i="1"/>
  <c r="V50" i="1"/>
  <c r="W49" i="1"/>
  <c r="V49" i="1"/>
  <c r="W48" i="1"/>
  <c r="V48" i="1"/>
  <c r="W47" i="1"/>
  <c r="V47" i="1"/>
  <c r="W46" i="1"/>
  <c r="V46" i="1"/>
  <c r="W45" i="1"/>
  <c r="V45" i="1"/>
  <c r="W44" i="1"/>
  <c r="V44" i="1"/>
  <c r="W43" i="1"/>
  <c r="V43" i="1"/>
  <c r="V42" i="1"/>
  <c r="W42" i="1" s="1"/>
  <c r="W41" i="1"/>
  <c r="V41" i="1"/>
  <c r="V40" i="1"/>
  <c r="W40" i="1" s="1"/>
  <c r="W39" i="1"/>
  <c r="V39" i="1"/>
  <c r="V38" i="1"/>
  <c r="W38" i="1" s="1"/>
  <c r="W37" i="1"/>
  <c r="V37" i="1"/>
  <c r="W36" i="1"/>
  <c r="V36" i="1"/>
  <c r="J36" i="1"/>
  <c r="W35" i="1"/>
  <c r="V35" i="1"/>
  <c r="V34" i="1"/>
  <c r="W34" i="1" s="1"/>
  <c r="W33" i="1"/>
  <c r="V33" i="1"/>
  <c r="V32" i="1"/>
  <c r="W32" i="1" s="1"/>
  <c r="W31" i="1"/>
  <c r="V31" i="1"/>
  <c r="V30" i="1"/>
  <c r="W30" i="1" s="1"/>
  <c r="W29" i="1"/>
  <c r="V29" i="1"/>
  <c r="V28" i="1"/>
  <c r="W28" i="1" s="1"/>
  <c r="W27" i="1"/>
  <c r="V27" i="1"/>
  <c r="V26" i="1"/>
  <c r="W26" i="1" s="1"/>
  <c r="W25" i="1"/>
  <c r="V25" i="1"/>
  <c r="W24" i="1"/>
  <c r="V24" i="1"/>
  <c r="W23" i="1"/>
  <c r="V23" i="1"/>
  <c r="V22" i="1"/>
  <c r="W22" i="1" s="1"/>
  <c r="W21" i="1"/>
  <c r="V21" i="1"/>
  <c r="V20" i="1"/>
  <c r="W20" i="1" s="1"/>
  <c r="W19" i="1"/>
  <c r="V19" i="1"/>
  <c r="W18" i="1"/>
  <c r="V18" i="1"/>
  <c r="W17" i="1"/>
  <c r="V17" i="1"/>
  <c r="V16" i="1"/>
  <c r="W16" i="1" s="1"/>
  <c r="W15" i="1"/>
  <c r="V15" i="1"/>
  <c r="V14" i="1"/>
  <c r="W14" i="1" s="1"/>
  <c r="W13" i="1"/>
  <c r="V13" i="1"/>
  <c r="V12" i="1"/>
  <c r="W12" i="1" s="1"/>
  <c r="W11" i="1"/>
  <c r="V11" i="1"/>
  <c r="V10" i="1"/>
  <c r="W10" i="1" s="1"/>
  <c r="W9" i="1"/>
  <c r="V9" i="1"/>
  <c r="W8" i="1"/>
  <c r="V8" i="1"/>
  <c r="W7" i="1"/>
  <c r="V7" i="1"/>
  <c r="V6" i="1"/>
  <c r="J6" i="1" s="1"/>
  <c r="W5" i="1"/>
  <c r="V5" i="1"/>
  <c r="V4" i="1"/>
  <c r="W4" i="1" s="1"/>
  <c r="AA1" i="1"/>
  <c r="Z1" i="1"/>
  <c r="Y1" i="1"/>
  <c r="G6" i="1" l="1"/>
  <c r="E6" i="1"/>
  <c r="K6" i="1"/>
  <c r="C6" i="1"/>
  <c r="I6" i="1"/>
  <c r="A6" i="1"/>
  <c r="H6" i="1"/>
  <c r="F6" i="1"/>
  <c r="D6" i="1"/>
  <c r="B6" i="1"/>
  <c r="J8" i="1"/>
  <c r="J20" i="1"/>
  <c r="J12" i="1"/>
  <c r="J28" i="1"/>
  <c r="I36" i="1"/>
  <c r="A36" i="1"/>
  <c r="H36" i="1"/>
  <c r="G36" i="1"/>
  <c r="F36" i="1"/>
  <c r="E36" i="1"/>
  <c r="D36" i="1"/>
  <c r="K36" i="1"/>
  <c r="C36" i="1"/>
  <c r="J42" i="1"/>
  <c r="J34" i="1"/>
  <c r="J26" i="1"/>
  <c r="J18" i="1"/>
  <c r="J10" i="1"/>
  <c r="W6" i="1"/>
  <c r="J32" i="1"/>
  <c r="J40" i="1"/>
  <c r="J24" i="1"/>
  <c r="J16" i="1"/>
  <c r="J38" i="1"/>
  <c r="J30" i="1"/>
  <c r="J22" i="1"/>
  <c r="J41" i="1"/>
  <c r="J33" i="1"/>
  <c r="J25" i="1"/>
  <c r="J17" i="1"/>
  <c r="J9" i="1"/>
  <c r="J4" i="1"/>
  <c r="J39" i="1"/>
  <c r="J14" i="1"/>
  <c r="B36" i="1"/>
  <c r="J11" i="1"/>
  <c r="J19" i="1"/>
  <c r="J27" i="1"/>
  <c r="J35" i="1"/>
  <c r="J43" i="1"/>
  <c r="J5" i="1"/>
  <c r="J13" i="1"/>
  <c r="J21" i="1"/>
  <c r="J29" i="1"/>
  <c r="J37" i="1"/>
  <c r="J7" i="1"/>
  <c r="J15" i="1"/>
  <c r="J23" i="1"/>
  <c r="J31" i="1"/>
  <c r="K42" i="1" l="1"/>
  <c r="C42" i="1"/>
  <c r="B42" i="1"/>
  <c r="I42" i="1"/>
  <c r="A42" i="1"/>
  <c r="H42" i="1"/>
  <c r="G42" i="1"/>
  <c r="F42" i="1"/>
  <c r="E42" i="1"/>
  <c r="D42" i="1"/>
  <c r="D37" i="1"/>
  <c r="K37" i="1"/>
  <c r="C37" i="1"/>
  <c r="B37" i="1"/>
  <c r="I37" i="1"/>
  <c r="A37" i="1"/>
  <c r="H37" i="1"/>
  <c r="G37" i="1"/>
  <c r="F37" i="1"/>
  <c r="E37" i="1"/>
  <c r="F19" i="1"/>
  <c r="E19" i="1"/>
  <c r="D19" i="1"/>
  <c r="C19" i="1"/>
  <c r="K19" i="1"/>
  <c r="B19" i="1"/>
  <c r="H19" i="1"/>
  <c r="I19" i="1"/>
  <c r="G19" i="1"/>
  <c r="A19" i="1"/>
  <c r="H25" i="1"/>
  <c r="G25" i="1"/>
  <c r="F25" i="1"/>
  <c r="E25" i="1"/>
  <c r="D25" i="1"/>
  <c r="C25" i="1"/>
  <c r="K25" i="1"/>
  <c r="B25" i="1"/>
  <c r="A25" i="1"/>
  <c r="I25" i="1"/>
  <c r="E40" i="1"/>
  <c r="D40" i="1"/>
  <c r="K40" i="1"/>
  <c r="C40" i="1"/>
  <c r="B40" i="1"/>
  <c r="I40" i="1"/>
  <c r="A40" i="1"/>
  <c r="H40" i="1"/>
  <c r="G40" i="1"/>
  <c r="F40" i="1"/>
  <c r="H17" i="1"/>
  <c r="G17" i="1"/>
  <c r="F17" i="1"/>
  <c r="E17" i="1"/>
  <c r="D17" i="1"/>
  <c r="B17" i="1"/>
  <c r="K17" i="1"/>
  <c r="I17" i="1"/>
  <c r="C17" i="1"/>
  <c r="A17" i="1"/>
  <c r="F11" i="1"/>
  <c r="E11" i="1"/>
  <c r="D11" i="1"/>
  <c r="B11" i="1"/>
  <c r="H11" i="1"/>
  <c r="K11" i="1"/>
  <c r="I11" i="1"/>
  <c r="A11" i="1"/>
  <c r="G11" i="1"/>
  <c r="C11" i="1"/>
  <c r="H33" i="1"/>
  <c r="G33" i="1"/>
  <c r="F33" i="1"/>
  <c r="E33" i="1"/>
  <c r="D33" i="1"/>
  <c r="C33" i="1"/>
  <c r="K33" i="1"/>
  <c r="B33" i="1"/>
  <c r="I33" i="1"/>
  <c r="A33" i="1"/>
  <c r="E32" i="1"/>
  <c r="D32" i="1"/>
  <c r="K32" i="1"/>
  <c r="C32" i="1"/>
  <c r="B32" i="1"/>
  <c r="I32" i="1"/>
  <c r="A32" i="1"/>
  <c r="H32" i="1"/>
  <c r="G32" i="1"/>
  <c r="F32" i="1"/>
  <c r="I28" i="1"/>
  <c r="A28" i="1"/>
  <c r="H28" i="1"/>
  <c r="G28" i="1"/>
  <c r="F28" i="1"/>
  <c r="E28" i="1"/>
  <c r="D28" i="1"/>
  <c r="K28" i="1"/>
  <c r="C28" i="1"/>
  <c r="B28" i="1"/>
  <c r="F27" i="1"/>
  <c r="E27" i="1"/>
  <c r="D27" i="1"/>
  <c r="K27" i="1"/>
  <c r="C27" i="1"/>
  <c r="B27" i="1"/>
  <c r="I27" i="1"/>
  <c r="A27" i="1"/>
  <c r="H27" i="1"/>
  <c r="G27" i="1"/>
  <c r="D29" i="1"/>
  <c r="K29" i="1"/>
  <c r="C29" i="1"/>
  <c r="B29" i="1"/>
  <c r="I29" i="1"/>
  <c r="A29" i="1"/>
  <c r="H29" i="1"/>
  <c r="G29" i="1"/>
  <c r="F29" i="1"/>
  <c r="E29" i="1"/>
  <c r="D21" i="1"/>
  <c r="C21" i="1"/>
  <c r="K21" i="1"/>
  <c r="B21" i="1"/>
  <c r="I21" i="1"/>
  <c r="A21" i="1"/>
  <c r="H21" i="1"/>
  <c r="G21" i="1"/>
  <c r="F21" i="1"/>
  <c r="E21" i="1"/>
  <c r="H41" i="1"/>
  <c r="G41" i="1"/>
  <c r="F41" i="1"/>
  <c r="E41" i="1"/>
  <c r="D41" i="1"/>
  <c r="K41" i="1"/>
  <c r="C41" i="1"/>
  <c r="B41" i="1"/>
  <c r="I41" i="1"/>
  <c r="A41" i="1"/>
  <c r="I12" i="1"/>
  <c r="A12" i="1"/>
  <c r="H12" i="1"/>
  <c r="G12" i="1"/>
  <c r="E12" i="1"/>
  <c r="K12" i="1"/>
  <c r="C12" i="1"/>
  <c r="F12" i="1"/>
  <c r="D12" i="1"/>
  <c r="B12" i="1"/>
  <c r="B7" i="1"/>
  <c r="H7" i="1"/>
  <c r="F7" i="1"/>
  <c r="D7" i="1"/>
  <c r="C7" i="1"/>
  <c r="A7" i="1"/>
  <c r="K7" i="1"/>
  <c r="G7" i="1"/>
  <c r="E7" i="1"/>
  <c r="I7" i="1"/>
  <c r="E24" i="1"/>
  <c r="D24" i="1"/>
  <c r="K24" i="1"/>
  <c r="C24" i="1"/>
  <c r="B24" i="1"/>
  <c r="I24" i="1"/>
  <c r="A24" i="1"/>
  <c r="H24" i="1"/>
  <c r="G24" i="1"/>
  <c r="F24" i="1"/>
  <c r="D13" i="1"/>
  <c r="C13" i="1"/>
  <c r="K13" i="1"/>
  <c r="B13" i="1"/>
  <c r="H13" i="1"/>
  <c r="F13" i="1"/>
  <c r="G13" i="1"/>
  <c r="E13" i="1"/>
  <c r="A13" i="1"/>
  <c r="I13" i="1"/>
  <c r="G14" i="1"/>
  <c r="F14" i="1"/>
  <c r="E14" i="1"/>
  <c r="K14" i="1"/>
  <c r="C14" i="1"/>
  <c r="I14" i="1"/>
  <c r="A14" i="1"/>
  <c r="H14" i="1"/>
  <c r="D14" i="1"/>
  <c r="B14" i="1"/>
  <c r="G22" i="1"/>
  <c r="F22" i="1"/>
  <c r="E22" i="1"/>
  <c r="D22" i="1"/>
  <c r="K22" i="1"/>
  <c r="C22" i="1"/>
  <c r="B22" i="1"/>
  <c r="I22" i="1"/>
  <c r="A22" i="1"/>
  <c r="H22" i="1"/>
  <c r="K10" i="1"/>
  <c r="C10" i="1"/>
  <c r="B10" i="1"/>
  <c r="I10" i="1"/>
  <c r="A10" i="1"/>
  <c r="G10" i="1"/>
  <c r="E10" i="1"/>
  <c r="H10" i="1"/>
  <c r="F10" i="1"/>
  <c r="D10" i="1"/>
  <c r="I20" i="1"/>
  <c r="A20" i="1"/>
  <c r="H20" i="1"/>
  <c r="G20" i="1"/>
  <c r="F20" i="1"/>
  <c r="E20" i="1"/>
  <c r="D20" i="1"/>
  <c r="K20" i="1"/>
  <c r="C20" i="1"/>
  <c r="B20" i="1"/>
  <c r="D5" i="1"/>
  <c r="B5" i="1"/>
  <c r="H5" i="1"/>
  <c r="F5" i="1"/>
  <c r="K5" i="1"/>
  <c r="I5" i="1"/>
  <c r="A5" i="1"/>
  <c r="G5" i="1"/>
  <c r="E5" i="1"/>
  <c r="C5" i="1"/>
  <c r="B39" i="1"/>
  <c r="I39" i="1"/>
  <c r="A39" i="1"/>
  <c r="H39" i="1"/>
  <c r="G39" i="1"/>
  <c r="F39" i="1"/>
  <c r="E39" i="1"/>
  <c r="D39" i="1"/>
  <c r="K39" i="1"/>
  <c r="C39" i="1"/>
  <c r="G30" i="1"/>
  <c r="F30" i="1"/>
  <c r="E30" i="1"/>
  <c r="D30" i="1"/>
  <c r="K30" i="1"/>
  <c r="C30" i="1"/>
  <c r="B30" i="1"/>
  <c r="I30" i="1"/>
  <c r="A30" i="1"/>
  <c r="H30" i="1"/>
  <c r="K18" i="1"/>
  <c r="C18" i="1"/>
  <c r="B18" i="1"/>
  <c r="I18" i="1"/>
  <c r="A18" i="1"/>
  <c r="H18" i="1"/>
  <c r="G18" i="1"/>
  <c r="E18" i="1"/>
  <c r="D18" i="1"/>
  <c r="F18" i="1"/>
  <c r="E8" i="1"/>
  <c r="K8" i="1"/>
  <c r="C8" i="1"/>
  <c r="I8" i="1"/>
  <c r="A8" i="1"/>
  <c r="G8" i="1"/>
  <c r="D8" i="1"/>
  <c r="F8" i="1"/>
  <c r="B8" i="1"/>
  <c r="H8" i="1"/>
  <c r="B31" i="1"/>
  <c r="I31" i="1"/>
  <c r="A31" i="1"/>
  <c r="H31" i="1"/>
  <c r="G31" i="1"/>
  <c r="F31" i="1"/>
  <c r="E31" i="1"/>
  <c r="D31" i="1"/>
  <c r="C31" i="1"/>
  <c r="K31" i="1"/>
  <c r="B23" i="1"/>
  <c r="I23" i="1"/>
  <c r="A23" i="1"/>
  <c r="H23" i="1"/>
  <c r="G23" i="1"/>
  <c r="F23" i="1"/>
  <c r="E23" i="1"/>
  <c r="D23" i="1"/>
  <c r="C23" i="1"/>
  <c r="K23" i="1"/>
  <c r="F43" i="1"/>
  <c r="E43" i="1"/>
  <c r="D43" i="1"/>
  <c r="C43" i="1"/>
  <c r="K43" i="1"/>
  <c r="B43" i="1"/>
  <c r="I43" i="1"/>
  <c r="A43" i="1"/>
  <c r="H43" i="1"/>
  <c r="G43" i="1"/>
  <c r="I4" i="1"/>
  <c r="A4" i="1"/>
  <c r="G4" i="1"/>
  <c r="E4" i="1"/>
  <c r="K4" i="1"/>
  <c r="C4" i="1"/>
  <c r="H4" i="1"/>
  <c r="F4" i="1"/>
  <c r="D4" i="1"/>
  <c r="B4" i="1"/>
  <c r="G38" i="1"/>
  <c r="F38" i="1"/>
  <c r="E38" i="1"/>
  <c r="D38" i="1"/>
  <c r="K38" i="1"/>
  <c r="C38" i="1"/>
  <c r="B38" i="1"/>
  <c r="I38" i="1"/>
  <c r="A38" i="1"/>
  <c r="H38" i="1"/>
  <c r="K26" i="1"/>
  <c r="C26" i="1"/>
  <c r="B26" i="1"/>
  <c r="I26" i="1"/>
  <c r="A26" i="1"/>
  <c r="H26" i="1"/>
  <c r="G26" i="1"/>
  <c r="F26" i="1"/>
  <c r="E26" i="1"/>
  <c r="D26" i="1"/>
  <c r="B15" i="1"/>
  <c r="I15" i="1"/>
  <c r="A15" i="1"/>
  <c r="H15" i="1"/>
  <c r="F15" i="1"/>
  <c r="D15" i="1"/>
  <c r="C15" i="1"/>
  <c r="K15" i="1"/>
  <c r="E15" i="1"/>
  <c r="G15" i="1"/>
  <c r="F35" i="1"/>
  <c r="E35" i="1"/>
  <c r="D35" i="1"/>
  <c r="K35" i="1"/>
  <c r="C35" i="1"/>
  <c r="B35" i="1"/>
  <c r="I35" i="1"/>
  <c r="A35" i="1"/>
  <c r="H35" i="1"/>
  <c r="G35" i="1"/>
  <c r="H9" i="1"/>
  <c r="F9" i="1"/>
  <c r="D9" i="1"/>
  <c r="B9" i="1"/>
  <c r="E9" i="1"/>
  <c r="C9" i="1"/>
  <c r="A9" i="1"/>
  <c r="G9" i="1"/>
  <c r="I9" i="1"/>
  <c r="K9" i="1"/>
  <c r="E16" i="1"/>
  <c r="D16" i="1"/>
  <c r="K16" i="1"/>
  <c r="C16" i="1"/>
  <c r="B16" i="1"/>
  <c r="I16" i="1"/>
  <c r="A16" i="1"/>
  <c r="G16" i="1"/>
  <c r="H16" i="1"/>
  <c r="F16" i="1"/>
  <c r="K34" i="1"/>
  <c r="C34" i="1"/>
  <c r="B34" i="1"/>
  <c r="I34" i="1"/>
  <c r="A34" i="1"/>
  <c r="H34" i="1"/>
  <c r="G34" i="1"/>
  <c r="F34" i="1"/>
  <c r="E34" i="1"/>
  <c r="D34" i="1"/>
</calcChain>
</file>

<file path=xl/sharedStrings.xml><?xml version="1.0" encoding="utf-8"?>
<sst xmlns="http://schemas.openxmlformats.org/spreadsheetml/2006/main" count="2183" uniqueCount="383">
  <si>
    <t>Top 20 Winner/Looser (Sales)</t>
  </si>
  <si>
    <t xml:space="preserve"> (exkl BP)</t>
  </si>
  <si>
    <t/>
  </si>
  <si>
    <t>GrSales 
2019</t>
  </si>
  <si>
    <t>GrSales 
2020</t>
  </si>
  <si>
    <t>GrSales 
2021</t>
  </si>
  <si>
    <t>Customer (Ship-to)</t>
  </si>
  <si>
    <t>Name</t>
  </si>
  <si>
    <t>Name 2</t>
  </si>
  <si>
    <t>Name 3</t>
  </si>
  <si>
    <t>Street Name</t>
  </si>
  <si>
    <t>Postal Code</t>
  </si>
  <si>
    <t>Chg 21/20</t>
  </si>
  <si>
    <t>Time Dimension - TS</t>
  </si>
  <si>
    <t>YTD Dec</t>
  </si>
  <si>
    <t>Change</t>
  </si>
  <si>
    <t>EUR</t>
  </si>
  <si>
    <t>%</t>
  </si>
  <si>
    <t>Overall Result</t>
  </si>
  <si>
    <t>2600110111</t>
  </si>
  <si>
    <t>#</t>
  </si>
  <si>
    <t>2600110122</t>
  </si>
  <si>
    <t xml:space="preserve"> </t>
  </si>
  <si>
    <t>2600110128</t>
  </si>
  <si>
    <t>2600110194</t>
  </si>
  <si>
    <t>2600110263</t>
  </si>
  <si>
    <t>2600110286</t>
  </si>
  <si>
    <t>2600110345</t>
  </si>
  <si>
    <t>2600110399</t>
  </si>
  <si>
    <t>2600110425</t>
  </si>
  <si>
    <t>2600110778</t>
  </si>
  <si>
    <t>2600110801</t>
  </si>
  <si>
    <t>2600110839</t>
  </si>
  <si>
    <t>2600110969</t>
  </si>
  <si>
    <t>2600110985</t>
  </si>
  <si>
    <t>2600110990</t>
  </si>
  <si>
    <t>2600111018</t>
  </si>
  <si>
    <t>2600111398</t>
  </si>
  <si>
    <t>2600111493</t>
  </si>
  <si>
    <t>2600111545</t>
  </si>
  <si>
    <t>2600111589</t>
  </si>
  <si>
    <t>2600111638</t>
  </si>
  <si>
    <t>2600111805</t>
  </si>
  <si>
    <t>2600111958</t>
  </si>
  <si>
    <t>2600112300</t>
  </si>
  <si>
    <t>2600112411</t>
  </si>
  <si>
    <t>2600112632</t>
  </si>
  <si>
    <t>2600112633</t>
  </si>
  <si>
    <t>2600112809</t>
  </si>
  <si>
    <t>2600112932</t>
  </si>
  <si>
    <t>2600113084</t>
  </si>
  <si>
    <t>2600113286</t>
  </si>
  <si>
    <t>2600113469</t>
  </si>
  <si>
    <t>2600113671</t>
  </si>
  <si>
    <t>2600113884</t>
  </si>
  <si>
    <t>2600113958</t>
  </si>
  <si>
    <t>2600114024</t>
  </si>
  <si>
    <t>2600114073</t>
  </si>
  <si>
    <t>2600114502</t>
  </si>
  <si>
    <t>2600114685</t>
  </si>
  <si>
    <t>2600114884</t>
  </si>
  <si>
    <t>2600114980</t>
  </si>
  <si>
    <t>2600115184</t>
  </si>
  <si>
    <t>2600115187</t>
  </si>
  <si>
    <t>2600116222</t>
  </si>
  <si>
    <t>2600116237</t>
  </si>
  <si>
    <t>2600116554</t>
  </si>
  <si>
    <t>2600116681</t>
  </si>
  <si>
    <t>2600116688</t>
  </si>
  <si>
    <t>2600116815</t>
  </si>
  <si>
    <t>2600116830</t>
  </si>
  <si>
    <t>2600117036</t>
  </si>
  <si>
    <t>2600117144</t>
  </si>
  <si>
    <t>2600117631</t>
  </si>
  <si>
    <t>2600117941</t>
  </si>
  <si>
    <t>2600118028</t>
  </si>
  <si>
    <t>2600118125</t>
  </si>
  <si>
    <t>2600118370</t>
  </si>
  <si>
    <t>2600118479</t>
  </si>
  <si>
    <t>2600118594</t>
  </si>
  <si>
    <t>2600118668</t>
  </si>
  <si>
    <t>2600118715</t>
  </si>
  <si>
    <t>2600118793</t>
  </si>
  <si>
    <t>2600118831</t>
  </si>
  <si>
    <t>2600118832</t>
  </si>
  <si>
    <t>2600119080</t>
  </si>
  <si>
    <t>2600119121</t>
  </si>
  <si>
    <t>2600119175</t>
  </si>
  <si>
    <t>2600119515</t>
  </si>
  <si>
    <t>2600119519</t>
  </si>
  <si>
    <t>2600119608</t>
  </si>
  <si>
    <t>2600119623</t>
  </si>
  <si>
    <t>2600119694</t>
  </si>
  <si>
    <t>2600119749</t>
  </si>
  <si>
    <t>2600119821</t>
  </si>
  <si>
    <t>2600119914</t>
  </si>
  <si>
    <t>2600119995</t>
  </si>
  <si>
    <t>2600120106</t>
  </si>
  <si>
    <t>2600120178</t>
  </si>
  <si>
    <t>2600120193</t>
  </si>
  <si>
    <t>2600120201</t>
  </si>
  <si>
    <t>2600120259</t>
  </si>
  <si>
    <t>2600120303</t>
  </si>
  <si>
    <t>2600120330</t>
  </si>
  <si>
    <t>2600120394</t>
  </si>
  <si>
    <t>2600120401</t>
  </si>
  <si>
    <t>2600120474</t>
  </si>
  <si>
    <t>2600120489</t>
  </si>
  <si>
    <t>2600120575</t>
  </si>
  <si>
    <t>2600120670</t>
  </si>
  <si>
    <t>2600120744</t>
  </si>
  <si>
    <t>2600120890</t>
  </si>
  <si>
    <t>2600120898</t>
  </si>
  <si>
    <t>2600120997</t>
  </si>
  <si>
    <t>2600121000</t>
  </si>
  <si>
    <t>2600121005</t>
  </si>
  <si>
    <t>2600121123</t>
  </si>
  <si>
    <t>2600121131</t>
  </si>
  <si>
    <t>2600121237</t>
  </si>
  <si>
    <t>2600121302</t>
  </si>
  <si>
    <t>2600121304</t>
  </si>
  <si>
    <t>2600121363</t>
  </si>
  <si>
    <t>2600121501</t>
  </si>
  <si>
    <t>2600121555</t>
  </si>
  <si>
    <t>2600121722</t>
  </si>
  <si>
    <t>2600122181</t>
  </si>
  <si>
    <t>2600122206</t>
  </si>
  <si>
    <t>2600122485</t>
  </si>
  <si>
    <t>2600122689</t>
  </si>
  <si>
    <t>2600122712</t>
  </si>
  <si>
    <t>2600122734</t>
  </si>
  <si>
    <t>2600123017</t>
  </si>
  <si>
    <t>2600123286</t>
  </si>
  <si>
    <t>2600123367</t>
  </si>
  <si>
    <t>2600123393</t>
  </si>
  <si>
    <t>2600123497</t>
  </si>
  <si>
    <t>2600123565</t>
  </si>
  <si>
    <t>2600123589</t>
  </si>
  <si>
    <t>2600123727</t>
  </si>
  <si>
    <t>2600123813</t>
  </si>
  <si>
    <t>2600123851</t>
  </si>
  <si>
    <t>2600123854</t>
  </si>
  <si>
    <t>2600123866</t>
  </si>
  <si>
    <t>2600123982</t>
  </si>
  <si>
    <t>2600123988</t>
  </si>
  <si>
    <t>2600124118</t>
  </si>
  <si>
    <t>2600124160</t>
  </si>
  <si>
    <t>2600124283</t>
  </si>
  <si>
    <t>2600124642</t>
  </si>
  <si>
    <t>2600124645</t>
  </si>
  <si>
    <t>2600124721</t>
  </si>
  <si>
    <t>2600124745</t>
  </si>
  <si>
    <t>2600124746</t>
  </si>
  <si>
    <t>2600124997</t>
  </si>
  <si>
    <t>2600125252</t>
  </si>
  <si>
    <t>2600125293</t>
  </si>
  <si>
    <t>2600125297</t>
  </si>
  <si>
    <t>2600125402</t>
  </si>
  <si>
    <t>2600125535</t>
  </si>
  <si>
    <t>2600125570</t>
  </si>
  <si>
    <t>2600125593</t>
  </si>
  <si>
    <t>2600125599</t>
  </si>
  <si>
    <t>2600125647</t>
  </si>
  <si>
    <t>2600125695</t>
  </si>
  <si>
    <t>2600125845</t>
  </si>
  <si>
    <t>2600126148</t>
  </si>
  <si>
    <t>2600126231</t>
  </si>
  <si>
    <t>2600126240</t>
  </si>
  <si>
    <t>2600126291</t>
  </si>
  <si>
    <t>2600126313</t>
  </si>
  <si>
    <t>2600126468</t>
  </si>
  <si>
    <t>2600126498</t>
  </si>
  <si>
    <t>2600126617</t>
  </si>
  <si>
    <t>2600126757</t>
  </si>
  <si>
    <t>2600126912</t>
  </si>
  <si>
    <t>2600127108</t>
  </si>
  <si>
    <t>2600127125</t>
  </si>
  <si>
    <t>2600127306</t>
  </si>
  <si>
    <t>2600127432</t>
  </si>
  <si>
    <t>2600127707</t>
  </si>
  <si>
    <t>2600127731</t>
  </si>
  <si>
    <t>2600127770</t>
  </si>
  <si>
    <t>2600127792</t>
  </si>
  <si>
    <t>2600128160</t>
  </si>
  <si>
    <t>2600128190</t>
  </si>
  <si>
    <t>2600128248</t>
  </si>
  <si>
    <t>2600600022</t>
  </si>
  <si>
    <t>2600600030</t>
  </si>
  <si>
    <t>2600600032</t>
  </si>
  <si>
    <t>2600600040</t>
  </si>
  <si>
    <t>2600600043</t>
  </si>
  <si>
    <t>2600600050</t>
  </si>
  <si>
    <t>2600600062</t>
  </si>
  <si>
    <t>2600600071</t>
  </si>
  <si>
    <t>2600600076</t>
  </si>
  <si>
    <t>2600600079</t>
  </si>
  <si>
    <t>2600600087</t>
  </si>
  <si>
    <t>2600600093</t>
  </si>
  <si>
    <t>2600600098</t>
  </si>
  <si>
    <t>2600600100</t>
  </si>
  <si>
    <t>2600600103</t>
  </si>
  <si>
    <t>2600600112</t>
  </si>
  <si>
    <t>2600600122</t>
  </si>
  <si>
    <t>2600600124</t>
  </si>
  <si>
    <t>2600600132</t>
  </si>
  <si>
    <t>2600600137</t>
  </si>
  <si>
    <t>2600600139</t>
  </si>
  <si>
    <t>2600600152</t>
  </si>
  <si>
    <t>2600600168</t>
  </si>
  <si>
    <t>2600600170</t>
  </si>
  <si>
    <t>2600600173</t>
  </si>
  <si>
    <t>2600600200</t>
  </si>
  <si>
    <t>2600600246</t>
  </si>
  <si>
    <t>2600600248</t>
  </si>
  <si>
    <t>2600600322</t>
  </si>
  <si>
    <t>2600600327</t>
  </si>
  <si>
    <t>2600600345</t>
  </si>
  <si>
    <t>2600600351</t>
  </si>
  <si>
    <t>2600600370</t>
  </si>
  <si>
    <t>2600600373</t>
  </si>
  <si>
    <t>2600600391</t>
  </si>
  <si>
    <t>2600600394</t>
  </si>
  <si>
    <t>2600600407</t>
  </si>
  <si>
    <t>2600600414</t>
  </si>
  <si>
    <t>2600600417</t>
  </si>
  <si>
    <t>2600600423</t>
  </si>
  <si>
    <t>2600600426</t>
  </si>
  <si>
    <t>2600600429</t>
  </si>
  <si>
    <t>2600600436</t>
  </si>
  <si>
    <t>2600600437</t>
  </si>
  <si>
    <t>2600600446</t>
  </si>
  <si>
    <t>2600600483</t>
  </si>
  <si>
    <t>2600600487</t>
  </si>
  <si>
    <t>2600600503</t>
  </si>
  <si>
    <t>2600600514</t>
  </si>
  <si>
    <t>2600600523</t>
  </si>
  <si>
    <t>2600600525</t>
  </si>
  <si>
    <t>2600600545</t>
  </si>
  <si>
    <t>2600600584</t>
  </si>
  <si>
    <t>2600600590</t>
  </si>
  <si>
    <t>2600600591</t>
  </si>
  <si>
    <t>2600600608</t>
  </si>
  <si>
    <t>2600600624</t>
  </si>
  <si>
    <t>2600600637</t>
  </si>
  <si>
    <t>2600600648</t>
  </si>
  <si>
    <t>2600600653</t>
  </si>
  <si>
    <t>2600600666</t>
  </si>
  <si>
    <t>2600600668</t>
  </si>
  <si>
    <t>2600600679</t>
  </si>
  <si>
    <t>2600600707</t>
  </si>
  <si>
    <t>2600600710</t>
  </si>
  <si>
    <t>2600600735</t>
  </si>
  <si>
    <t>2600600740</t>
  </si>
  <si>
    <t>2600600766</t>
  </si>
  <si>
    <t>2600600778</t>
  </si>
  <si>
    <t>2600600782</t>
  </si>
  <si>
    <t>2600600794</t>
  </si>
  <si>
    <t>2600600804</t>
  </si>
  <si>
    <t>2600600816</t>
  </si>
  <si>
    <t>2600600824</t>
  </si>
  <si>
    <t>2600600827</t>
  </si>
  <si>
    <t>2600600854</t>
  </si>
  <si>
    <t>2600600877</t>
  </si>
  <si>
    <t>2600600889</t>
  </si>
  <si>
    <t>2600600897</t>
  </si>
  <si>
    <t>2600600900</t>
  </si>
  <si>
    <t>2600600901</t>
  </si>
  <si>
    <t>2600600902</t>
  </si>
  <si>
    <t>2600600906</t>
  </si>
  <si>
    <t>2600600911</t>
  </si>
  <si>
    <t>2600600930</t>
  </si>
  <si>
    <t>2600600982</t>
  </si>
  <si>
    <t>2600600990</t>
  </si>
  <si>
    <t>2600601013</t>
  </si>
  <si>
    <t>2600601019</t>
  </si>
  <si>
    <t>2600601042</t>
  </si>
  <si>
    <t>2600601045</t>
  </si>
  <si>
    <t>2600601050</t>
  </si>
  <si>
    <t>2600601087</t>
  </si>
  <si>
    <t>2600601099</t>
  </si>
  <si>
    <t>2600601112</t>
  </si>
  <si>
    <t>2600601115</t>
  </si>
  <si>
    <t>2600601123</t>
  </si>
  <si>
    <t>2600601132</t>
  </si>
  <si>
    <t>2600601153</t>
  </si>
  <si>
    <t>2600601177</t>
  </si>
  <si>
    <t>2600601201</t>
  </si>
  <si>
    <t>2600601204</t>
  </si>
  <si>
    <t>2600601222</t>
  </si>
  <si>
    <t>2600601239</t>
  </si>
  <si>
    <t>2600601245</t>
  </si>
  <si>
    <t>2600601252</t>
  </si>
  <si>
    <t>2600601266</t>
  </si>
  <si>
    <t>2600601285</t>
  </si>
  <si>
    <t>2600601286</t>
  </si>
  <si>
    <t>2600601318</t>
  </si>
  <si>
    <t>2600601330</t>
  </si>
  <si>
    <t>2600601360</t>
  </si>
  <si>
    <t>2600601366</t>
  </si>
  <si>
    <t>2600601423</t>
  </si>
  <si>
    <t>2600601470</t>
  </si>
  <si>
    <t>2600601541</t>
  </si>
  <si>
    <t>2600601571</t>
  </si>
  <si>
    <t>2600601583</t>
  </si>
  <si>
    <t>2600601613</t>
  </si>
  <si>
    <t>2600601625</t>
  </si>
  <si>
    <t>2600601664</t>
  </si>
  <si>
    <t>2600601669</t>
  </si>
  <si>
    <t>2600601673</t>
  </si>
  <si>
    <t>2600601699</t>
  </si>
  <si>
    <t>2600601740</t>
  </si>
  <si>
    <t>2600601758</t>
  </si>
  <si>
    <t>2600601783</t>
  </si>
  <si>
    <t>2600601828</t>
  </si>
  <si>
    <t>2600601870</t>
  </si>
  <si>
    <t>2600601878</t>
  </si>
  <si>
    <t>2600601915</t>
  </si>
  <si>
    <t>2600601916</t>
  </si>
  <si>
    <t>2600601936</t>
  </si>
  <si>
    <t>2600601940</t>
  </si>
  <si>
    <t>2600601956</t>
  </si>
  <si>
    <t>2600601975</t>
  </si>
  <si>
    <t>2600602001</t>
  </si>
  <si>
    <t>2600602005</t>
  </si>
  <si>
    <t>2600602011</t>
  </si>
  <si>
    <t>2600602034</t>
  </si>
  <si>
    <t>2600602047</t>
  </si>
  <si>
    <t>2600602056</t>
  </si>
  <si>
    <t>2600602085</t>
  </si>
  <si>
    <t>2600602107</t>
  </si>
  <si>
    <t>2600602126</t>
  </si>
  <si>
    <t>2600602133</t>
  </si>
  <si>
    <t>2600602137</t>
  </si>
  <si>
    <t>2600602166</t>
  </si>
  <si>
    <t>2600602197</t>
  </si>
  <si>
    <t>2600602233</t>
  </si>
  <si>
    <t>2600602238</t>
  </si>
  <si>
    <t>2600602252</t>
  </si>
  <si>
    <t>2600602256</t>
  </si>
  <si>
    <t>2600602279</t>
  </si>
  <si>
    <t>2600602295</t>
  </si>
  <si>
    <t>2600602296</t>
  </si>
  <si>
    <t>2600602308</t>
  </si>
  <si>
    <t>2600602318</t>
  </si>
  <si>
    <t>2600602323</t>
  </si>
  <si>
    <t>2600602328</t>
  </si>
  <si>
    <t>2600602334</t>
  </si>
  <si>
    <t>2600602338</t>
  </si>
  <si>
    <t>2600602370</t>
  </si>
  <si>
    <t>2600602378</t>
  </si>
  <si>
    <t>2600602387</t>
  </si>
  <si>
    <t>2600602409</t>
  </si>
  <si>
    <t>2600602499</t>
  </si>
  <si>
    <t>2600602527</t>
  </si>
  <si>
    <t>2600602529</t>
  </si>
  <si>
    <t>2600602571</t>
  </si>
  <si>
    <t>2600602573</t>
  </si>
  <si>
    <t>2600602597</t>
  </si>
  <si>
    <t>2600602638</t>
  </si>
  <si>
    <t>2600602649</t>
  </si>
  <si>
    <t>2600602656</t>
  </si>
  <si>
    <t>2600602667</t>
  </si>
  <si>
    <t>2600602695</t>
  </si>
  <si>
    <t>2600602697</t>
  </si>
  <si>
    <t>2600602708</t>
  </si>
  <si>
    <t>2600602717</t>
  </si>
  <si>
    <t>2600602735</t>
  </si>
  <si>
    <t>2600602744</t>
  </si>
  <si>
    <t>2600602748</t>
  </si>
  <si>
    <t>2600602764</t>
  </si>
  <si>
    <t>2600602785</t>
  </si>
  <si>
    <t>2600602798</t>
  </si>
  <si>
    <t>2600602823</t>
  </si>
  <si>
    <t>2600602841</t>
  </si>
  <si>
    <t>2600602845</t>
  </si>
  <si>
    <t>2600602856</t>
  </si>
  <si>
    <t>MARKET</t>
  </si>
  <si>
    <t>MIDAS/RSC - Unknown Dealer Customer</t>
  </si>
  <si>
    <t>a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</si>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</sst>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,000"/>
    <numFmt numFmtId="165" formatCode="#,##0;\-#,##0;#,##0"/>
    <numFmt numFmtId="166" formatCode="0.0%"/>
  </numFmts>
  <fonts count="12" x14ac:knownFonts="1">
    <font>
      <sz val="10"/>
      <name val="Arial"/>
    </font>
    <font>
      <b/>
      <sz val="8"/>
      <color rgb="FF1F497D"/>
      <name val="Verdana"/>
      <family val="2"/>
    </font>
    <font>
      <b/>
      <sz val="12"/>
      <color theme="0"/>
      <name val="Verdana"/>
      <family val="2"/>
    </font>
    <font>
      <b/>
      <sz val="8"/>
      <color theme="0"/>
      <name val="Verdana"/>
      <family val="2"/>
    </font>
    <font>
      <sz val="8"/>
      <color rgb="FF1F497D"/>
      <name val="Verdana"/>
      <family val="2"/>
    </font>
    <font>
      <sz val="8"/>
      <color theme="0"/>
      <name val="Verdana"/>
      <family val="2"/>
    </font>
    <font>
      <sz val="10"/>
      <color theme="0"/>
      <name val="Arial"/>
      <family val="2"/>
    </font>
    <font>
      <b/>
      <sz val="7.5"/>
      <color theme="0"/>
      <name val="Verdana"/>
      <family val="2"/>
    </font>
    <font>
      <b/>
      <sz val="8"/>
      <name val="Verdana"/>
      <family val="2"/>
    </font>
    <font>
      <sz val="8"/>
      <color rgb="FF00B050"/>
      <name val="Verdana"/>
      <family val="2"/>
    </font>
    <font>
      <sz val="10"/>
      <name val="Arial"/>
      <family val="2"/>
    </font>
    <font>
      <sz val="8"/>
      <color rgb="FFFF000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00B0F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 style="thin">
        <color indexed="64"/>
      </right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4" tint="0.3999755851924192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0.59996337778862885"/>
      </right>
      <top style="thin">
        <color theme="3" tint="-0.24994659260841701"/>
      </top>
      <bottom style="thin">
        <color indexed="64"/>
      </bottom>
      <diagonal/>
    </border>
    <border>
      <left style="thin">
        <color theme="3" tint="0.59996337778862885"/>
      </left>
      <right style="thin">
        <color indexed="64"/>
      </right>
      <top style="thin">
        <color theme="3" tint="-0.24994659260841701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indexed="64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indexed="64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-0.24994659260841701"/>
      </bottom>
      <diagonal/>
    </border>
  </borders>
  <cellStyleXfs count="7">
    <xf numFmtId="0" fontId="0" fillId="0" borderId="0"/>
    <xf numFmtId="9" fontId="10" fillId="0" borderId="0" applyFont="0" applyFill="0" applyBorder="0" applyAlignment="0" applyProtection="0"/>
    <xf numFmtId="0" fontId="1" fillId="2" borderId="1" applyNumberFormat="0" applyAlignment="0" applyProtection="0">
      <alignment horizontal="left" vertical="center" indent="1"/>
    </xf>
    <xf numFmtId="164" fontId="4" fillId="4" borderId="1" applyNumberFormat="0" applyAlignment="0" applyProtection="0">
      <alignment horizontal="left" vertical="center" indent="1"/>
    </xf>
    <xf numFmtId="164" fontId="4" fillId="0" borderId="8" applyNumberFormat="0" applyProtection="0">
      <alignment horizontal="right" vertical="center"/>
    </xf>
    <xf numFmtId="0" fontId="1" fillId="2" borderId="10" applyNumberFormat="0" applyAlignment="0" applyProtection="0">
      <alignment horizontal="left" vertical="center" indent="1"/>
    </xf>
    <xf numFmtId="164" fontId="1" fillId="0" borderId="10" applyNumberFormat="0" applyProtection="0">
      <alignment horizontal="right" vertical="center"/>
    </xf>
  </cellStyleXfs>
  <cellXfs count="50">
    <xf numFmtId="0" fontId="0" fillId="0" borderId="0" xfId="0"/>
    <xf numFmtId="0" fontId="2" fillId="3" borderId="2" xfId="2" quotePrefix="1" applyNumberFormat="1" applyFont="1" applyFill="1" applyBorder="1" applyAlignment="1">
      <alignment horizontal="left" vertical="center"/>
    </xf>
    <xf numFmtId="0" fontId="2" fillId="3" borderId="3" xfId="2" quotePrefix="1" applyNumberFormat="1" applyFont="1" applyFill="1" applyBorder="1" applyAlignment="1">
      <alignment horizontal="left" vertical="center"/>
    </xf>
    <xf numFmtId="0" fontId="3" fillId="3" borderId="1" xfId="2" applyNumberFormat="1" applyFont="1" applyFill="1" applyBorder="1" applyAlignment="1"/>
    <xf numFmtId="0" fontId="3" fillId="3" borderId="1" xfId="2" quotePrefix="1" applyNumberFormat="1" applyFont="1" applyFill="1" applyBorder="1" applyAlignment="1">
      <alignment horizontal="center"/>
    </xf>
    <xf numFmtId="0" fontId="5" fillId="5" borderId="1" xfId="3" quotePrefix="1" applyNumberFormat="1" applyFont="1" applyFill="1" applyBorder="1" applyAlignment="1">
      <alignment horizontal="center" wrapText="1"/>
    </xf>
    <xf numFmtId="0" fontId="5" fillId="5" borderId="1" xfId="3" applyNumberFormat="1" applyFont="1" applyFill="1" applyBorder="1" applyAlignment="1">
      <alignment horizontal="center"/>
    </xf>
    <xf numFmtId="0" fontId="1" fillId="2" borderId="1" xfId="2" quotePrefix="1" applyNumberFormat="1" applyBorder="1" applyAlignment="1"/>
    <xf numFmtId="0" fontId="4" fillId="4" borderId="1" xfId="3" quotePrefix="1" applyNumberFormat="1" applyBorder="1" applyAlignment="1">
      <alignment wrapText="1"/>
    </xf>
    <xf numFmtId="165" fontId="6" fillId="0" borderId="0" xfId="0" applyNumberFormat="1" applyFont="1"/>
    <xf numFmtId="0" fontId="3" fillId="3" borderId="1" xfId="2" quotePrefix="1" applyNumberFormat="1" applyFont="1" applyFill="1" applyBorder="1" applyAlignment="1"/>
    <xf numFmtId="0" fontId="3" fillId="5" borderId="1" xfId="3" quotePrefix="1" applyNumberFormat="1" applyFont="1" applyFill="1" applyBorder="1" applyAlignment="1">
      <alignment horizontal="center"/>
    </xf>
    <xf numFmtId="0" fontId="7" fillId="5" borderId="1" xfId="3" quotePrefix="1" applyNumberFormat="1" applyFont="1" applyFill="1" applyBorder="1" applyAlignment="1">
      <alignment horizontal="center" vertical="center"/>
    </xf>
    <xf numFmtId="0" fontId="1" fillId="2" borderId="1" xfId="2" quotePrefix="1" applyNumberFormat="1" applyAlignment="1"/>
    <xf numFmtId="0" fontId="4" fillId="4" borderId="1" xfId="3" quotePrefix="1" applyNumberFormat="1" applyAlignment="1"/>
    <xf numFmtId="0" fontId="4" fillId="4" borderId="1" xfId="3" quotePrefix="1" applyNumberFormat="1" applyBorder="1" applyAlignment="1"/>
    <xf numFmtId="0" fontId="4" fillId="4" borderId="4" xfId="3" quotePrefix="1" applyNumberFormat="1" applyBorder="1" applyAlignment="1">
      <alignment vertical="center"/>
    </xf>
    <xf numFmtId="0" fontId="4" fillId="4" borderId="5" xfId="3" quotePrefix="1" applyNumberFormat="1" applyBorder="1" applyAlignment="1">
      <alignment vertical="center"/>
    </xf>
    <xf numFmtId="0" fontId="8" fillId="3" borderId="1" xfId="2" quotePrefix="1" applyNumberFormat="1" applyFont="1" applyFill="1" applyBorder="1" applyAlignment="1"/>
    <xf numFmtId="0" fontId="8" fillId="3" borderId="1" xfId="2" quotePrefix="1" applyNumberFormat="1" applyFont="1" applyFill="1" applyBorder="1" applyAlignment="1">
      <alignment horizontal="center"/>
    </xf>
    <xf numFmtId="0" fontId="3" fillId="5" borderId="6" xfId="3" quotePrefix="1" applyNumberFormat="1" applyFont="1" applyFill="1" applyBorder="1" applyAlignment="1">
      <alignment horizontal="center"/>
    </xf>
    <xf numFmtId="0" fontId="1" fillId="2" borderId="1" xfId="2" applyNumberFormat="1" applyBorder="1" applyAlignment="1"/>
    <xf numFmtId="0" fontId="4" fillId="4" borderId="1" xfId="3" quotePrefix="1" applyNumberFormat="1" applyBorder="1" applyAlignment="1">
      <alignment horizontal="right"/>
    </xf>
    <xf numFmtId="0" fontId="4" fillId="6" borderId="7" xfId="3" applyNumberFormat="1" applyFont="1" applyFill="1" applyBorder="1" applyAlignment="1"/>
    <xf numFmtId="165" fontId="4" fillId="7" borderId="9" xfId="4" applyNumberFormat="1" applyFill="1" applyBorder="1" applyAlignment="1">
      <alignment horizontal="center" vertical="center"/>
    </xf>
    <xf numFmtId="165" fontId="9" fillId="7" borderId="9" xfId="4" applyNumberFormat="1" applyFont="1" applyFill="1" applyBorder="1" applyAlignment="1">
      <alignment horizontal="center" vertical="center"/>
    </xf>
    <xf numFmtId="166" fontId="9" fillId="7" borderId="9" xfId="1" applyNumberFormat="1" applyFont="1" applyFill="1" applyBorder="1" applyAlignment="1">
      <alignment horizontal="center" vertical="center"/>
    </xf>
    <xf numFmtId="0" fontId="1" fillId="2" borderId="11" xfId="5" quotePrefix="1" applyNumberFormat="1" applyBorder="1" applyAlignment="1"/>
    <xf numFmtId="0" fontId="1" fillId="2" borderId="10" xfId="5" applyNumberFormat="1" applyAlignment="1"/>
    <xf numFmtId="0" fontId="1" fillId="2" borderId="12" xfId="5" applyNumberFormat="1" applyBorder="1" applyAlignment="1"/>
    <xf numFmtId="165" fontId="1" fillId="0" borderId="10" xfId="6" applyNumberFormat="1">
      <alignment horizontal="right" vertical="center"/>
    </xf>
    <xf numFmtId="165" fontId="1" fillId="0" borderId="12" xfId="6" applyNumberFormat="1" applyBorder="1">
      <alignment horizontal="right" vertical="center"/>
    </xf>
    <xf numFmtId="165" fontId="1" fillId="0" borderId="13" xfId="4" applyNumberFormat="1" applyFont="1" applyBorder="1">
      <alignment horizontal="right" vertical="center"/>
    </xf>
    <xf numFmtId="166" fontId="1" fillId="0" borderId="14" xfId="1" applyNumberFormat="1" applyFont="1" applyBorder="1" applyAlignment="1">
      <alignment horizontal="right" vertical="center"/>
    </xf>
    <xf numFmtId="165" fontId="4" fillId="0" borderId="8" xfId="4" applyNumberFormat="1">
      <alignment horizontal="right" vertical="center"/>
    </xf>
    <xf numFmtId="165" fontId="4" fillId="0" borderId="15" xfId="4" applyNumberFormat="1" applyBorder="1">
      <alignment horizontal="right" vertical="center"/>
    </xf>
    <xf numFmtId="165" fontId="4" fillId="0" borderId="16" xfId="4" applyNumberFormat="1" applyBorder="1">
      <alignment horizontal="right" vertical="center"/>
    </xf>
    <xf numFmtId="166" fontId="4" fillId="0" borderId="17" xfId="1" applyNumberFormat="1" applyFont="1" applyBorder="1" applyAlignment="1">
      <alignment horizontal="right" vertical="center"/>
    </xf>
    <xf numFmtId="165" fontId="4" fillId="0" borderId="8" xfId="4" applyNumberFormat="1" applyBorder="1">
      <alignment horizontal="right" vertical="center"/>
    </xf>
    <xf numFmtId="166" fontId="4" fillId="0" borderId="18" xfId="1" applyNumberFormat="1" applyFont="1" applyBorder="1" applyAlignment="1">
      <alignment horizontal="right" vertical="center"/>
    </xf>
    <xf numFmtId="0" fontId="4" fillId="8" borderId="7" xfId="3" applyNumberFormat="1" applyFont="1" applyFill="1" applyBorder="1" applyAlignment="1"/>
    <xf numFmtId="0" fontId="4" fillId="8" borderId="1" xfId="3" quotePrefix="1" applyNumberFormat="1" applyFill="1" applyAlignment="1"/>
    <xf numFmtId="165" fontId="4" fillId="9" borderId="9" xfId="4" applyNumberFormat="1" applyFill="1" applyBorder="1" applyAlignment="1">
      <alignment horizontal="center" vertical="center"/>
    </xf>
    <xf numFmtId="165" fontId="11" fillId="9" borderId="9" xfId="4" applyNumberFormat="1" applyFont="1" applyFill="1" applyBorder="1" applyAlignment="1">
      <alignment horizontal="center" vertical="center"/>
    </xf>
    <xf numFmtId="166" fontId="11" fillId="9" borderId="9" xfId="1" applyNumberFormat="1" applyFont="1" applyFill="1" applyBorder="1" applyAlignment="1">
      <alignment horizontal="center" vertical="center"/>
    </xf>
    <xf numFmtId="165" fontId="4" fillId="0" borderId="19" xfId="4" applyNumberFormat="1" applyBorder="1">
      <alignment horizontal="right" vertical="center"/>
    </xf>
    <xf numFmtId="165" fontId="4" fillId="0" borderId="20" xfId="4" applyNumberFormat="1" applyBorder="1">
      <alignment horizontal="right" vertical="center"/>
    </xf>
    <xf numFmtId="0" fontId="11" fillId="6" borderId="7" xfId="3" applyNumberFormat="1" applyFont="1" applyFill="1" applyBorder="1" applyAlignment="1"/>
    <xf numFmtId="165" fontId="11" fillId="7" borderId="9" xfId="4" applyNumberFormat="1" applyFont="1" applyFill="1" applyBorder="1" applyAlignment="1">
      <alignment horizontal="center" vertical="center"/>
    </xf>
    <xf numFmtId="166" fontId="11" fillId="7" borderId="9" xfId="1" applyNumberFormat="1" applyFont="1" applyFill="1" applyBorder="1" applyAlignment="1">
      <alignment horizontal="center" vertical="center"/>
    </xf>
  </cellXfs>
  <cellStyles count="7">
    <cellStyle name="Prozent" xfId="1" builtinId="5"/>
    <cellStyle name="SAPDataCell" xfId="4"/>
    <cellStyle name="SAPDataTotalCell" xfId="6"/>
    <cellStyle name="SAPDimensionCell" xfId="2"/>
    <cellStyle name="SAPMemberCell" xfId="3"/>
    <cellStyle name="SAPMemberTotalCell" xfId="5"/>
    <cellStyle name="Standard" xfId="0" builtinId="0"/>
  </cellStyles>
  <dxfs count="4"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-Do/monatliche%20Reportings/CH/12%20-%202021/12%20J&#228;g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Übersicht"/>
      <sheetName val="Funnel"/>
      <sheetName val="Produkte"/>
      <sheetName val="Tabelle2"/>
      <sheetName val="Kunden"/>
      <sheetName val="Kunden (2)"/>
      <sheetName val="Hyper Customer"/>
      <sheetName val="PLZ"/>
      <sheetName val="Handel"/>
      <sheetName val="E-Shop"/>
      <sheetName val="Service"/>
      <sheetName val="Calibration"/>
    </sheetNames>
    <sheetDataSet>
      <sheetData sheetId="0"/>
      <sheetData sheetId="1">
        <row r="17">
          <cell r="D17">
            <v>1751754.07</v>
          </cell>
          <cell r="E17">
            <v>2054243.41</v>
          </cell>
          <cell r="F17">
            <v>2753194.97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AC360"/>
  <sheetViews>
    <sheetView showGridLines="0" tabSelected="1" zoomScale="90" zoomScaleNormal="90" workbookViewId="0">
      <selection activeCell="B46" sqref="B46"/>
    </sheetView>
  </sheetViews>
  <sheetFormatPr baseColWidth="10" defaultRowHeight="12.75" x14ac:dyDescent="0.2"/>
  <cols>
    <col min="1" max="1" width="19" bestFit="1" customWidth="1"/>
    <col min="2" max="2" width="28.5703125" bestFit="1" customWidth="1"/>
    <col min="3" max="3" width="26.140625" bestFit="1" customWidth="1"/>
    <col min="4" max="4" width="19.5703125" bestFit="1" customWidth="1"/>
    <col min="5" max="5" width="19.7109375" bestFit="1" customWidth="1"/>
    <col min="6" max="6" width="11.85546875" bestFit="1" customWidth="1"/>
    <col min="7" max="11" width="8.42578125" customWidth="1"/>
    <col min="12" max="12" width="3.7109375" customWidth="1"/>
    <col min="13" max="13" width="19" bestFit="1" customWidth="1"/>
    <col min="14" max="14" width="35.28515625" bestFit="1" customWidth="1"/>
    <col min="15" max="15" width="32.28515625" bestFit="1" customWidth="1"/>
    <col min="16" max="16" width="26.42578125" bestFit="1" customWidth="1"/>
    <col min="17" max="17" width="24.5703125" bestFit="1" customWidth="1"/>
    <col min="18" max="18" width="20.28515625" bestFit="1" customWidth="1"/>
    <col min="19" max="19" width="10.140625" bestFit="1" customWidth="1"/>
    <col min="20" max="20" width="10.42578125" bestFit="1" customWidth="1"/>
    <col min="21" max="21" width="10.140625" bestFit="1" customWidth="1"/>
    <col min="22" max="23" width="9.5703125" bestFit="1" customWidth="1"/>
  </cols>
  <sheetData>
    <row r="1" spans="1:29" ht="21.75" x14ac:dyDescent="0.2">
      <c r="A1" s="1" t="s">
        <v>0</v>
      </c>
      <c r="B1" s="2"/>
      <c r="C1" s="1" t="s">
        <v>1</v>
      </c>
      <c r="D1" s="2"/>
      <c r="E1" s="3"/>
      <c r="F1" s="4"/>
      <c r="G1" s="5"/>
      <c r="H1" s="6"/>
      <c r="I1" s="6"/>
      <c r="J1" s="6"/>
      <c r="K1" s="6"/>
      <c r="M1" s="7" t="s">
        <v>2</v>
      </c>
      <c r="N1" s="7" t="s">
        <v>2</v>
      </c>
      <c r="O1" s="7" t="s">
        <v>2</v>
      </c>
      <c r="P1" s="7" t="s">
        <v>2</v>
      </c>
      <c r="Q1" s="7" t="s">
        <v>2</v>
      </c>
      <c r="R1" s="7" t="s">
        <v>2</v>
      </c>
      <c r="S1" s="8" t="s">
        <v>3</v>
      </c>
      <c r="T1" s="8" t="s">
        <v>4</v>
      </c>
      <c r="U1" s="8" t="s">
        <v>5</v>
      </c>
      <c r="V1" s="8"/>
      <c r="W1" s="8"/>
      <c r="Y1" s="9">
        <f>+S4-[1]Übersicht!D17</f>
        <v>0</v>
      </c>
      <c r="Z1" s="9">
        <f>+T4-[1]Übersicht!E17</f>
        <v>0</v>
      </c>
      <c r="AA1" s="9">
        <f>+U4-[1]Übersicht!F17</f>
        <v>0</v>
      </c>
    </row>
    <row r="2" spans="1:29" x14ac:dyDescent="0.2">
      <c r="A2" s="10" t="s">
        <v>6</v>
      </c>
      <c r="B2" s="10" t="s">
        <v>7</v>
      </c>
      <c r="C2" s="10" t="s">
        <v>8</v>
      </c>
      <c r="D2" s="10" t="s">
        <v>9</v>
      </c>
      <c r="E2" s="10" t="s">
        <v>10</v>
      </c>
      <c r="F2" s="4" t="s">
        <v>11</v>
      </c>
      <c r="G2" s="11">
        <v>2019</v>
      </c>
      <c r="H2" s="11">
        <v>2020</v>
      </c>
      <c r="I2" s="11">
        <v>2021</v>
      </c>
      <c r="J2" s="12" t="s">
        <v>12</v>
      </c>
      <c r="K2" s="12" t="s">
        <v>12</v>
      </c>
      <c r="M2" s="7" t="s">
        <v>2</v>
      </c>
      <c r="N2" s="13" t="s">
        <v>2</v>
      </c>
      <c r="O2" s="13" t="s">
        <v>2</v>
      </c>
      <c r="P2" s="13" t="s">
        <v>2</v>
      </c>
      <c r="Q2" s="13" t="s">
        <v>2</v>
      </c>
      <c r="R2" s="7" t="s">
        <v>13</v>
      </c>
      <c r="S2" s="14" t="s">
        <v>14</v>
      </c>
      <c r="T2" s="14" t="s">
        <v>14</v>
      </c>
      <c r="U2" s="15" t="s">
        <v>14</v>
      </c>
      <c r="V2" s="16" t="s">
        <v>15</v>
      </c>
      <c r="W2" s="17" t="s">
        <v>15</v>
      </c>
      <c r="Y2" s="9"/>
    </row>
    <row r="3" spans="1:29" x14ac:dyDescent="0.2">
      <c r="A3" s="18"/>
      <c r="B3" s="18"/>
      <c r="C3" s="18"/>
      <c r="D3" s="18"/>
      <c r="E3" s="18"/>
      <c r="F3" s="19"/>
      <c r="G3" s="20" t="s">
        <v>16</v>
      </c>
      <c r="H3" s="20" t="s">
        <v>16</v>
      </c>
      <c r="I3" s="20" t="s">
        <v>16</v>
      </c>
      <c r="J3" s="20" t="s">
        <v>16</v>
      </c>
      <c r="K3" s="20" t="s">
        <v>17</v>
      </c>
      <c r="M3" s="7" t="s">
        <v>6</v>
      </c>
      <c r="N3" s="21"/>
      <c r="O3" s="7" t="s">
        <v>8</v>
      </c>
      <c r="P3" s="7" t="s">
        <v>9</v>
      </c>
      <c r="Q3" s="7" t="s">
        <v>10</v>
      </c>
      <c r="R3" s="7" t="s">
        <v>11</v>
      </c>
      <c r="S3" s="22" t="s">
        <v>16</v>
      </c>
      <c r="T3" s="22" t="s">
        <v>16</v>
      </c>
      <c r="U3" s="22" t="s">
        <v>16</v>
      </c>
      <c r="V3" s="22" t="s">
        <v>16</v>
      </c>
      <c r="W3" s="22" t="s">
        <v>17</v>
      </c>
    </row>
    <row r="4" spans="1:29" x14ac:dyDescent="0.2">
      <c r="A4" s="47" t="str">
        <f>INDEX($M$5:$M$360,MATCH(J4,$V$5:$V$360,0))</f>
        <v>MARKET</v>
      </c>
      <c r="B4" s="47" t="str">
        <f>INDEX($N$5:$N$360,MATCH(J4,$V$5:$V$360,0))</f>
        <v>MIDAS/RSC - Unknown Dealer Customer</v>
      </c>
      <c r="C4" s="47" t="str">
        <f>INDEX($O$5:$O$360,MATCH(J4,$V$5:$V$360,0))</f>
        <v>#</v>
      </c>
      <c r="D4" s="47" t="str">
        <f>INDEX($P$5:$P$360,MATCH(J4,$V$5:$V$360,0))</f>
        <v>#</v>
      </c>
      <c r="E4" s="47" t="str">
        <f>INDEX($Q$5:$Q$360,MATCH(J4,$V$5:$V$360,0))</f>
        <v>#</v>
      </c>
      <c r="F4" s="47" t="str">
        <f>INDEX($R$5:$R$360,MATCH(J4,$V$5:$V$360,0))</f>
        <v>#</v>
      </c>
      <c r="G4" s="48">
        <f>INDEX($S$5:$S$360,MATCH(J4,$V$5:$V$360,0))</f>
        <v>530574.72</v>
      </c>
      <c r="H4" s="48">
        <f>INDEX($T$5:$T$360,MATCH(J4,$V$5:$V$360,0))</f>
        <v>713728.28</v>
      </c>
      <c r="I4" s="48">
        <f>INDEX($U$5:$U$360,MATCH(J4,$V$5:$V$360,0))</f>
        <v>1166890.8600000001</v>
      </c>
      <c r="J4" s="48">
        <f>LARGE($V$5:$V$360,1)</f>
        <v>453162.58000000007</v>
      </c>
      <c r="K4" s="49">
        <f>INDEX($W$5:$W$360,MATCH(J4,$V$5:$V$360,0))</f>
        <v>0.63492311107526811</v>
      </c>
      <c r="M4" s="27" t="s">
        <v>18</v>
      </c>
      <c r="N4" s="28"/>
      <c r="O4" s="28"/>
      <c r="P4" s="28"/>
      <c r="Q4" s="28"/>
      <c r="R4" s="29"/>
      <c r="S4" s="30">
        <v>1751754.07</v>
      </c>
      <c r="T4" s="30">
        <v>2054243.41</v>
      </c>
      <c r="U4" s="31">
        <v>2753194.97</v>
      </c>
      <c r="V4" s="32">
        <f>+U4-T4</f>
        <v>698951.56000000029</v>
      </c>
      <c r="W4" s="33">
        <f>IF(T4="","",IF(T4=0,"",IF(T4&lt;0,"",IF((V4/T4)&gt;1,"&gt;100%",IFERROR(V4/T4,"")))))</f>
        <v>0.34024768272227307</v>
      </c>
    </row>
    <row r="5" spans="1:29" x14ac:dyDescent="0.2">
      <c r="A5" s="23" t="str">
        <f>INDEX($M$5:$M$360,MATCH(J5,$V$5:$V$360,0))</f>
        <v>2600127125</v>
      </c>
      <c r="B5" s="23" t="str">
        <f>INDEX($N$5:$N$360,MATCH(J5,$V$5:$V$360,0))</f>
        <v>a</v>
      </c>
      <c r="C5" s="23" t="str">
        <f>INDEX($O$5:$O$360,MATCH(J5,$V$5:$V$360,0))</f>
        <v>b</v>
      </c>
      <c r="D5" s="23" t="str">
        <f>INDEX($P$5:$P$360,MATCH(J5,$V$5:$V$360,0))</f>
        <v>c</v>
      </c>
      <c r="E5" s="23" t="str">
        <f>INDEX($Q$5:$Q$360,MATCH(J5,$V$5:$V$360,0))</f>
        <v>d</v>
      </c>
      <c r="F5" s="23" t="str">
        <f>INDEX($R$5:$R$360,MATCH(J5,$V$5:$V$360,0))</f>
        <v>e</v>
      </c>
      <c r="G5" s="24">
        <f>INDEX($S$5:$S$360,MATCH(J5,$V$5:$V$360,0))</f>
        <v>0</v>
      </c>
      <c r="H5" s="24">
        <f>INDEX($T$5:$T$360,MATCH(J5,$V$5:$V$360,0))</f>
        <v>0</v>
      </c>
      <c r="I5" s="24">
        <f>INDEX($U$5:$U$360,MATCH(J5,$V$5:$V$360,0))</f>
        <v>199035.55</v>
      </c>
      <c r="J5" s="25">
        <f>LARGE($V$5:$V$360,2)</f>
        <v>199035.55</v>
      </c>
      <c r="K5" s="26" t="str">
        <f>INDEX($W$5:$W$360,MATCH(J5,$V$5:$V$360,0))</f>
        <v/>
      </c>
      <c r="M5" s="15" t="s">
        <v>19</v>
      </c>
      <c r="N5" s="14" t="s">
        <v>378</v>
      </c>
      <c r="O5" s="14" t="s">
        <v>379</v>
      </c>
      <c r="P5" s="14" t="s">
        <v>380</v>
      </c>
      <c r="Q5" s="14" t="s">
        <v>381</v>
      </c>
      <c r="R5" s="15" t="s">
        <v>382</v>
      </c>
      <c r="S5" s="34">
        <v>40</v>
      </c>
      <c r="T5" s="34">
        <v>30</v>
      </c>
      <c r="U5" s="35">
        <v>42.5</v>
      </c>
      <c r="V5" s="36">
        <f t="shared" ref="V5:V68" si="0">+U5-T5</f>
        <v>12.5</v>
      </c>
      <c r="W5" s="37">
        <f t="shared" ref="W5:W68" si="1">IF(T5="","",IF(T5=0,"",IF(T5&lt;0,"",IF((V5/T5)&gt;1,"&gt;100%",IFERROR(V5/T5,"")))))</f>
        <v>0.41666666666666669</v>
      </c>
    </row>
    <row r="6" spans="1:29" x14ac:dyDescent="0.2">
      <c r="A6" s="23" t="str">
        <f>INDEX($M$5:$M$360,MATCH(J6,$V$5:$V$360,0))</f>
        <v>2600125535</v>
      </c>
      <c r="B6" s="23" t="str">
        <f>INDEX($N$5:$N$360,MATCH(J6,$V$5:$V$360,0))</f>
        <v>a</v>
      </c>
      <c r="C6" s="23" t="str">
        <f>INDEX($O$5:$O$360,MATCH(J6,$V$5:$V$360,0))</f>
        <v>b</v>
      </c>
      <c r="D6" s="23" t="str">
        <f>INDEX($P$5:$P$360,MATCH(J6,$V$5:$V$360,0))</f>
        <v>c</v>
      </c>
      <c r="E6" s="23" t="str">
        <f>INDEX($Q$5:$Q$360,MATCH(J6,$V$5:$V$360,0))</f>
        <v>d</v>
      </c>
      <c r="F6" s="23" t="str">
        <f>INDEX($R$5:$R$360,MATCH(J6,$V$5:$V$360,0))</f>
        <v>e</v>
      </c>
      <c r="G6" s="24">
        <f>INDEX($S$5:$S$360,MATCH(J6,$V$5:$V$360,0))</f>
        <v>0</v>
      </c>
      <c r="H6" s="24">
        <f>INDEX($T$5:$T$360,MATCH(J6,$V$5:$V$360,0))</f>
        <v>0</v>
      </c>
      <c r="I6" s="24">
        <f>INDEX($U$5:$U$360,MATCH(J6,$V$5:$V$360,0))</f>
        <v>64625.58</v>
      </c>
      <c r="J6" s="25">
        <f>LARGE($V$5:$V$360,3)</f>
        <v>64625.58</v>
      </c>
      <c r="K6" s="26" t="str">
        <f>INDEX($W$5:$W$360,MATCH(J6,$V$5:$V$360,0))</f>
        <v/>
      </c>
      <c r="M6" s="15" t="s">
        <v>21</v>
      </c>
      <c r="N6" s="14" t="s">
        <v>378</v>
      </c>
      <c r="O6" s="14" t="s">
        <v>379</v>
      </c>
      <c r="P6" s="14" t="s">
        <v>380</v>
      </c>
      <c r="Q6" s="14" t="s">
        <v>381</v>
      </c>
      <c r="R6" s="15" t="s">
        <v>382</v>
      </c>
      <c r="S6" s="34">
        <v>2372.31</v>
      </c>
      <c r="T6" s="34">
        <v>2818.16</v>
      </c>
      <c r="U6" s="35">
        <v>4102.8599999999997</v>
      </c>
      <c r="V6" s="38">
        <f t="shared" si="0"/>
        <v>1284.6999999999998</v>
      </c>
      <c r="W6" s="39">
        <f t="shared" si="1"/>
        <v>0.45586481959860331</v>
      </c>
      <c r="AC6" t="s">
        <v>22</v>
      </c>
    </row>
    <row r="7" spans="1:29" x14ac:dyDescent="0.2">
      <c r="A7" s="23" t="str">
        <f>INDEX($M$5:$M$360,MATCH(J7,$V$5:$V$360,0))</f>
        <v>2600600152</v>
      </c>
      <c r="B7" s="23" t="str">
        <f>INDEX($N$5:$N$360,MATCH(J7,$V$5:$V$360,0))</f>
        <v>a</v>
      </c>
      <c r="C7" s="23" t="str">
        <f>INDEX($O$5:$O$360,MATCH(J7,$V$5:$V$360,0))</f>
        <v>b</v>
      </c>
      <c r="D7" s="23" t="str">
        <f>INDEX($P$5:$P$360,MATCH(J7,$V$5:$V$360,0))</f>
        <v>c</v>
      </c>
      <c r="E7" s="23" t="str">
        <f>INDEX($Q$5:$Q$360,MATCH(J7,$V$5:$V$360,0))</f>
        <v>d</v>
      </c>
      <c r="F7" s="23" t="str">
        <f>INDEX($R$5:$R$360,MATCH(J7,$V$5:$V$360,0))</f>
        <v>e</v>
      </c>
      <c r="G7" s="24">
        <f>INDEX($S$5:$S$360,MATCH(J7,$V$5:$V$360,0))</f>
        <v>28990.13</v>
      </c>
      <c r="H7" s="24">
        <f>INDEX($T$5:$T$360,MATCH(J7,$V$5:$V$360,0))</f>
        <v>29282.59</v>
      </c>
      <c r="I7" s="24">
        <f>INDEX($U$5:$U$360,MATCH(J7,$V$5:$V$360,0))</f>
        <v>61997.43</v>
      </c>
      <c r="J7" s="25">
        <f>LARGE($V$5:$V$360,4)</f>
        <v>32714.84</v>
      </c>
      <c r="K7" s="26" t="str">
        <f>INDEX($W$5:$W$360,MATCH(J7,$V$5:$V$360,0))</f>
        <v>&gt;100%</v>
      </c>
      <c r="M7" s="15" t="s">
        <v>23</v>
      </c>
      <c r="N7" s="14" t="s">
        <v>378</v>
      </c>
      <c r="O7" s="14" t="s">
        <v>379</v>
      </c>
      <c r="P7" s="14" t="s">
        <v>380</v>
      </c>
      <c r="Q7" s="14" t="s">
        <v>381</v>
      </c>
      <c r="R7" s="15" t="s">
        <v>382</v>
      </c>
      <c r="S7" s="34">
        <v>9636.34</v>
      </c>
      <c r="T7" s="34">
        <v>140.13999999999999</v>
      </c>
      <c r="U7" s="35"/>
      <c r="V7" s="38">
        <f t="shared" si="0"/>
        <v>-140.13999999999999</v>
      </c>
      <c r="W7" s="39">
        <f t="shared" si="1"/>
        <v>-1</v>
      </c>
    </row>
    <row r="8" spans="1:29" x14ac:dyDescent="0.2">
      <c r="A8" s="23" t="str">
        <f>INDEX($M$5:$M$360,MATCH(J8,$V$5:$V$360,0))</f>
        <v>2600601286</v>
      </c>
      <c r="B8" s="23" t="str">
        <f>INDEX($N$5:$N$360,MATCH(J8,$V$5:$V$360,0))</f>
        <v>a</v>
      </c>
      <c r="C8" s="23" t="str">
        <f>INDEX($O$5:$O$360,MATCH(J8,$V$5:$V$360,0))</f>
        <v>b</v>
      </c>
      <c r="D8" s="23" t="str">
        <f>INDEX($P$5:$P$360,MATCH(J8,$V$5:$V$360,0))</f>
        <v>c</v>
      </c>
      <c r="E8" s="23" t="str">
        <f>INDEX($Q$5:$Q$360,MATCH(J8,$V$5:$V$360,0))</f>
        <v>d</v>
      </c>
      <c r="F8" s="23" t="str">
        <f>INDEX($R$5:$R$360,MATCH(J8,$V$5:$V$360,0))</f>
        <v>e</v>
      </c>
      <c r="G8" s="24">
        <f>INDEX($S$5:$S$360,MATCH(J8,$V$5:$V$360,0))</f>
        <v>104617.72</v>
      </c>
      <c r="H8" s="24">
        <f>INDEX($T$5:$T$360,MATCH(J8,$V$5:$V$360,0))</f>
        <v>64671.17</v>
      </c>
      <c r="I8" s="24">
        <f>INDEX($U$5:$U$360,MATCH(J8,$V$5:$V$360,0))</f>
        <v>87418.42</v>
      </c>
      <c r="J8" s="25">
        <f>LARGE($V$5:$V$360,5)</f>
        <v>22747.25</v>
      </c>
      <c r="K8" s="26">
        <f>INDEX($W$5:$W$360,MATCH(J8,$V$5:$V$360,0))</f>
        <v>0.35173710325636603</v>
      </c>
      <c r="M8" s="15" t="s">
        <v>24</v>
      </c>
      <c r="N8" s="14" t="s">
        <v>378</v>
      </c>
      <c r="O8" s="14" t="s">
        <v>379</v>
      </c>
      <c r="P8" s="14" t="s">
        <v>380</v>
      </c>
      <c r="Q8" s="14" t="s">
        <v>381</v>
      </c>
      <c r="R8" s="15" t="s">
        <v>382</v>
      </c>
      <c r="S8" s="34"/>
      <c r="T8" s="34"/>
      <c r="U8" s="35">
        <v>10</v>
      </c>
      <c r="V8" s="38">
        <f t="shared" si="0"/>
        <v>10</v>
      </c>
      <c r="W8" s="39" t="str">
        <f t="shared" si="1"/>
        <v/>
      </c>
    </row>
    <row r="9" spans="1:29" x14ac:dyDescent="0.2">
      <c r="A9" s="23" t="str">
        <f>INDEX($M$5:$M$360,MATCH(J9,$V$5:$V$360,0))</f>
        <v>2600601285</v>
      </c>
      <c r="B9" s="23" t="str">
        <f>INDEX($N$5:$N$360,MATCH(J9,$V$5:$V$360,0))</f>
        <v>a</v>
      </c>
      <c r="C9" s="23" t="str">
        <f>INDEX($O$5:$O$360,MATCH(J9,$V$5:$V$360,0))</f>
        <v>b</v>
      </c>
      <c r="D9" s="23" t="str">
        <f>INDEX($P$5:$P$360,MATCH(J9,$V$5:$V$360,0))</f>
        <v>c</v>
      </c>
      <c r="E9" s="23" t="str">
        <f>INDEX($Q$5:$Q$360,MATCH(J9,$V$5:$V$360,0))</f>
        <v>d</v>
      </c>
      <c r="F9" s="23" t="str">
        <f>INDEX($R$5:$R$360,MATCH(J9,$V$5:$V$360,0))</f>
        <v>e</v>
      </c>
      <c r="G9" s="24">
        <f>INDEX($S$5:$S$360,MATCH(J9,$V$5:$V$360,0))</f>
        <v>2559.0100000000002</v>
      </c>
      <c r="H9" s="24">
        <f>INDEX($T$5:$T$360,MATCH(J9,$V$5:$V$360,0))</f>
        <v>8510.0300000000007</v>
      </c>
      <c r="I9" s="24">
        <f>INDEX($U$5:$U$360,MATCH(J9,$V$5:$V$360,0))</f>
        <v>28249.93</v>
      </c>
      <c r="J9" s="25">
        <f>LARGE($V$5:$V$360,6)</f>
        <v>19739.900000000001</v>
      </c>
      <c r="K9" s="26" t="str">
        <f>INDEX($W$5:$W$360,MATCH(J9,$V$5:$V$360,0))</f>
        <v>&gt;100%</v>
      </c>
      <c r="M9" s="15" t="s">
        <v>25</v>
      </c>
      <c r="N9" s="14" t="s">
        <v>378</v>
      </c>
      <c r="O9" s="14" t="s">
        <v>379</v>
      </c>
      <c r="P9" s="14" t="s">
        <v>380</v>
      </c>
      <c r="Q9" s="14" t="s">
        <v>381</v>
      </c>
      <c r="R9" s="15" t="s">
        <v>382</v>
      </c>
      <c r="S9" s="34">
        <v>360</v>
      </c>
      <c r="T9" s="34"/>
      <c r="U9" s="35"/>
      <c r="V9" s="38">
        <f t="shared" si="0"/>
        <v>0</v>
      </c>
      <c r="W9" s="39" t="str">
        <f t="shared" si="1"/>
        <v/>
      </c>
    </row>
    <row r="10" spans="1:29" x14ac:dyDescent="0.2">
      <c r="A10" s="23" t="str">
        <f>INDEX($M$5:$M$360,MATCH(J10,$V$5:$V$360,0))</f>
        <v>2600124745</v>
      </c>
      <c r="B10" s="23" t="str">
        <f>INDEX($N$5:$N$360,MATCH(J10,$V$5:$V$360,0))</f>
        <v>a</v>
      </c>
      <c r="C10" s="23" t="str">
        <f>INDEX($O$5:$O$360,MATCH(J10,$V$5:$V$360,0))</f>
        <v>b</v>
      </c>
      <c r="D10" s="23" t="str">
        <f>INDEX($P$5:$P$360,MATCH(J10,$V$5:$V$360,0))</f>
        <v>c</v>
      </c>
      <c r="E10" s="23" t="str">
        <f>INDEX($Q$5:$Q$360,MATCH(J10,$V$5:$V$360,0))</f>
        <v>d</v>
      </c>
      <c r="F10" s="23" t="str">
        <f>INDEX($R$5:$R$360,MATCH(J10,$V$5:$V$360,0))</f>
        <v>e</v>
      </c>
      <c r="G10" s="24">
        <f>INDEX($S$5:$S$360,MATCH(J10,$V$5:$V$360,0))</f>
        <v>0</v>
      </c>
      <c r="H10" s="24">
        <f>INDEX($T$5:$T$360,MATCH(J10,$V$5:$V$360,0))</f>
        <v>0</v>
      </c>
      <c r="I10" s="24">
        <f>INDEX($U$5:$U$360,MATCH(J10,$V$5:$V$360,0))</f>
        <v>16729.27</v>
      </c>
      <c r="J10" s="25">
        <f>LARGE($V$5:$V$360,7)</f>
        <v>16729.27</v>
      </c>
      <c r="K10" s="26" t="str">
        <f>INDEX($W$5:$W$360,MATCH(J10,$V$5:$V$360,0))</f>
        <v/>
      </c>
      <c r="M10" s="15" t="s">
        <v>26</v>
      </c>
      <c r="N10" s="14" t="s">
        <v>378</v>
      </c>
      <c r="O10" s="14" t="s">
        <v>379</v>
      </c>
      <c r="P10" s="14" t="s">
        <v>380</v>
      </c>
      <c r="Q10" s="14" t="s">
        <v>381</v>
      </c>
      <c r="R10" s="15" t="s">
        <v>382</v>
      </c>
      <c r="S10" s="34">
        <v>1933.07</v>
      </c>
      <c r="T10" s="34">
        <v>1171.43</v>
      </c>
      <c r="U10" s="35">
        <v>1363.84</v>
      </c>
      <c r="V10" s="38">
        <f t="shared" si="0"/>
        <v>192.40999999999985</v>
      </c>
      <c r="W10" s="39">
        <f t="shared" si="1"/>
        <v>0.16425223871678191</v>
      </c>
    </row>
    <row r="11" spans="1:29" x14ac:dyDescent="0.2">
      <c r="A11" s="23" t="str">
        <f>INDEX($M$5:$M$360,MATCH(J11,$V$5:$V$360,0))</f>
        <v>2600111398</v>
      </c>
      <c r="B11" s="23" t="str">
        <f>INDEX($N$5:$N$360,MATCH(J11,$V$5:$V$360,0))</f>
        <v>a</v>
      </c>
      <c r="C11" s="23" t="str">
        <f>INDEX($O$5:$O$360,MATCH(J11,$V$5:$V$360,0))</f>
        <v>b</v>
      </c>
      <c r="D11" s="23" t="str">
        <f>INDEX($P$5:$P$360,MATCH(J11,$V$5:$V$360,0))</f>
        <v>c</v>
      </c>
      <c r="E11" s="23" t="str">
        <f>INDEX($Q$5:$Q$360,MATCH(J11,$V$5:$V$360,0))</f>
        <v>d</v>
      </c>
      <c r="F11" s="23" t="str">
        <f>INDEX($R$5:$R$360,MATCH(J11,$V$5:$V$360,0))</f>
        <v>e</v>
      </c>
      <c r="G11" s="24">
        <f>INDEX($S$5:$S$360,MATCH(J11,$V$5:$V$360,0))</f>
        <v>1632.59</v>
      </c>
      <c r="H11" s="24">
        <f>INDEX($T$5:$T$360,MATCH(J11,$V$5:$V$360,0))</f>
        <v>1365.19</v>
      </c>
      <c r="I11" s="24">
        <f>INDEX($U$5:$U$360,MATCH(J11,$V$5:$V$360,0))</f>
        <v>17385.97</v>
      </c>
      <c r="J11" s="25">
        <f>LARGE($V$5:$V$360,8)</f>
        <v>16020.78</v>
      </c>
      <c r="K11" s="26" t="str">
        <f>INDEX($W$5:$W$360,MATCH(J11,$V$5:$V$360,0))</f>
        <v>&gt;100%</v>
      </c>
      <c r="M11" s="15" t="s">
        <v>27</v>
      </c>
      <c r="N11" s="14" t="s">
        <v>378</v>
      </c>
      <c r="O11" s="14" t="s">
        <v>379</v>
      </c>
      <c r="P11" s="14" t="s">
        <v>380</v>
      </c>
      <c r="Q11" s="14" t="s">
        <v>381</v>
      </c>
      <c r="R11" s="15" t="s">
        <v>382</v>
      </c>
      <c r="S11" s="34">
        <v>1027.1300000000001</v>
      </c>
      <c r="T11" s="34">
        <v>10</v>
      </c>
      <c r="U11" s="35">
        <v>1002.82</v>
      </c>
      <c r="V11" s="38">
        <f t="shared" si="0"/>
        <v>992.82</v>
      </c>
      <c r="W11" s="39" t="str">
        <f t="shared" si="1"/>
        <v>&gt;100%</v>
      </c>
    </row>
    <row r="12" spans="1:29" x14ac:dyDescent="0.2">
      <c r="A12" s="23" t="str">
        <f>INDEX($M$5:$M$360,MATCH(J12,$V$5:$V$360,0))</f>
        <v>2600122181</v>
      </c>
      <c r="B12" s="23" t="str">
        <f>INDEX($N$5:$N$360,MATCH(J12,$V$5:$V$360,0))</f>
        <v>a</v>
      </c>
      <c r="C12" s="23" t="str">
        <f>INDEX($O$5:$O$360,MATCH(J12,$V$5:$V$360,0))</f>
        <v>b</v>
      </c>
      <c r="D12" s="23" t="str">
        <f>INDEX($P$5:$P$360,MATCH(J12,$V$5:$V$360,0))</f>
        <v>c</v>
      </c>
      <c r="E12" s="23" t="str">
        <f>INDEX($Q$5:$Q$360,MATCH(J12,$V$5:$V$360,0))</f>
        <v>d</v>
      </c>
      <c r="F12" s="23" t="str">
        <f>INDEX($R$5:$R$360,MATCH(J12,$V$5:$V$360,0))</f>
        <v>e</v>
      </c>
      <c r="G12" s="24">
        <f>INDEX($S$5:$S$360,MATCH(J12,$V$5:$V$360,0))</f>
        <v>0</v>
      </c>
      <c r="H12" s="24">
        <f>INDEX($T$5:$T$360,MATCH(J12,$V$5:$V$360,0))</f>
        <v>5307.18</v>
      </c>
      <c r="I12" s="24">
        <f>INDEX($U$5:$U$360,MATCH(J12,$V$5:$V$360,0))</f>
        <v>20218.88</v>
      </c>
      <c r="J12" s="25">
        <f>LARGE($V$5:$V$360,9)</f>
        <v>14911.7</v>
      </c>
      <c r="K12" s="26" t="str">
        <f>INDEX($W$5:$W$360,MATCH(J12,$V$5:$V$360,0))</f>
        <v>&gt;100%</v>
      </c>
      <c r="M12" s="15" t="s">
        <v>28</v>
      </c>
      <c r="N12" s="14" t="s">
        <v>378</v>
      </c>
      <c r="O12" s="14" t="s">
        <v>379</v>
      </c>
      <c r="P12" s="14" t="s">
        <v>380</v>
      </c>
      <c r="Q12" s="14" t="s">
        <v>381</v>
      </c>
      <c r="R12" s="15" t="s">
        <v>382</v>
      </c>
      <c r="S12" s="34">
        <v>49.64</v>
      </c>
      <c r="T12" s="34">
        <v>404.9</v>
      </c>
      <c r="U12" s="35">
        <v>86.78</v>
      </c>
      <c r="V12" s="38">
        <f t="shared" si="0"/>
        <v>-318.12</v>
      </c>
      <c r="W12" s="39">
        <f t="shared" si="1"/>
        <v>-0.78567547542603122</v>
      </c>
    </row>
    <row r="13" spans="1:29" x14ac:dyDescent="0.2">
      <c r="A13" s="23" t="str">
        <f>INDEX($M$5:$M$360,MATCH(J13,$V$5:$V$360,0))</f>
        <v>2600601360</v>
      </c>
      <c r="B13" s="23" t="str">
        <f>INDEX($N$5:$N$360,MATCH(J13,$V$5:$V$360,0))</f>
        <v>a</v>
      </c>
      <c r="C13" s="23" t="str">
        <f>INDEX($O$5:$O$360,MATCH(J13,$V$5:$V$360,0))</f>
        <v>b</v>
      </c>
      <c r="D13" s="23" t="str">
        <f>INDEX($P$5:$P$360,MATCH(J13,$V$5:$V$360,0))</f>
        <v>c</v>
      </c>
      <c r="E13" s="23" t="str">
        <f>INDEX($Q$5:$Q$360,MATCH(J13,$V$5:$V$360,0))</f>
        <v>d</v>
      </c>
      <c r="F13" s="23" t="str">
        <f>INDEX($R$5:$R$360,MATCH(J13,$V$5:$V$360,0))</f>
        <v>e</v>
      </c>
      <c r="G13" s="24">
        <f>INDEX($S$5:$S$360,MATCH(J13,$V$5:$V$360,0))</f>
        <v>256140.61</v>
      </c>
      <c r="H13" s="24">
        <f>INDEX($T$5:$T$360,MATCH(J13,$V$5:$V$360,0))</f>
        <v>161057.72</v>
      </c>
      <c r="I13" s="24">
        <f>INDEX($U$5:$U$360,MATCH(J13,$V$5:$V$360,0))</f>
        <v>175374.66</v>
      </c>
      <c r="J13" s="25">
        <f>LARGE($V$5:$V$360,10)</f>
        <v>14316.940000000002</v>
      </c>
      <c r="K13" s="26">
        <f>INDEX($W$5:$W$360,MATCH(J13,$V$5:$V$360,0))</f>
        <v>8.8893224118657604E-2</v>
      </c>
      <c r="M13" s="15" t="s">
        <v>29</v>
      </c>
      <c r="N13" s="14" t="s">
        <v>378</v>
      </c>
      <c r="O13" s="14" t="s">
        <v>379</v>
      </c>
      <c r="P13" s="14" t="s">
        <v>380</v>
      </c>
      <c r="Q13" s="14" t="s">
        <v>381</v>
      </c>
      <c r="R13" s="15" t="s">
        <v>382</v>
      </c>
      <c r="S13" s="34">
        <v>1123.8599999999999</v>
      </c>
      <c r="T13" s="34"/>
      <c r="U13" s="35"/>
      <c r="V13" s="38">
        <f t="shared" si="0"/>
        <v>0</v>
      </c>
      <c r="W13" s="39" t="str">
        <f t="shared" si="1"/>
        <v/>
      </c>
    </row>
    <row r="14" spans="1:29" x14ac:dyDescent="0.2">
      <c r="A14" s="23" t="str">
        <f>INDEX($M$5:$M$360,MATCH(J14,$V$5:$V$360,0))</f>
        <v>2600600782</v>
      </c>
      <c r="B14" s="23" t="str">
        <f>INDEX($N$5:$N$360,MATCH(J14,$V$5:$V$360,0))</f>
        <v>a</v>
      </c>
      <c r="C14" s="23" t="str">
        <f>INDEX($O$5:$O$360,MATCH(J14,$V$5:$V$360,0))</f>
        <v>b</v>
      </c>
      <c r="D14" s="23" t="str">
        <f>INDEX($P$5:$P$360,MATCH(J14,$V$5:$V$360,0))</f>
        <v>c</v>
      </c>
      <c r="E14" s="23" t="str">
        <f>INDEX($Q$5:$Q$360,MATCH(J14,$V$5:$V$360,0))</f>
        <v>d</v>
      </c>
      <c r="F14" s="23" t="str">
        <f>INDEX($R$5:$R$360,MATCH(J14,$V$5:$V$360,0))</f>
        <v>e</v>
      </c>
      <c r="G14" s="24">
        <f>INDEX($S$5:$S$360,MATCH(J14,$V$5:$V$360,0))</f>
        <v>80152.56</v>
      </c>
      <c r="H14" s="24">
        <f>INDEX($T$5:$T$360,MATCH(J14,$V$5:$V$360,0))</f>
        <v>97460.41</v>
      </c>
      <c r="I14" s="24">
        <f>INDEX($U$5:$U$360,MATCH(J14,$V$5:$V$360,0))</f>
        <v>111078.06</v>
      </c>
      <c r="J14" s="25">
        <f>LARGE($V$5:$V$360,11)</f>
        <v>13617.649999999994</v>
      </c>
      <c r="K14" s="26">
        <f>INDEX($W$5:$W$360,MATCH(J14,$V$5:$V$360,0))</f>
        <v>0.13972494061947816</v>
      </c>
      <c r="M14" s="15" t="s">
        <v>30</v>
      </c>
      <c r="N14" s="14" t="s">
        <v>378</v>
      </c>
      <c r="O14" s="14" t="s">
        <v>379</v>
      </c>
      <c r="P14" s="14" t="s">
        <v>380</v>
      </c>
      <c r="Q14" s="14" t="s">
        <v>381</v>
      </c>
      <c r="R14" s="15" t="s">
        <v>382</v>
      </c>
      <c r="S14" s="34"/>
      <c r="T14" s="34">
        <v>10</v>
      </c>
      <c r="U14" s="35"/>
      <c r="V14" s="38">
        <f t="shared" si="0"/>
        <v>-10</v>
      </c>
      <c r="W14" s="39">
        <f t="shared" si="1"/>
        <v>-1</v>
      </c>
    </row>
    <row r="15" spans="1:29" x14ac:dyDescent="0.2">
      <c r="A15" s="23" t="str">
        <f>INDEX($M$5:$M$360,MATCH(J15,$V$5:$V$360,0))</f>
        <v>2600600103</v>
      </c>
      <c r="B15" s="23" t="str">
        <f>INDEX($N$5:$N$360,MATCH(J15,$V$5:$V$360,0))</f>
        <v>a</v>
      </c>
      <c r="C15" s="23" t="str">
        <f>INDEX($O$5:$O$360,MATCH(J15,$V$5:$V$360,0))</f>
        <v>b</v>
      </c>
      <c r="D15" s="23" t="str">
        <f>INDEX($P$5:$P$360,MATCH(J15,$V$5:$V$360,0))</f>
        <v>c</v>
      </c>
      <c r="E15" s="23" t="str">
        <f>INDEX($Q$5:$Q$360,MATCH(J15,$V$5:$V$360,0))</f>
        <v>d</v>
      </c>
      <c r="F15" s="23" t="str">
        <f>INDEX($R$5:$R$360,MATCH(J15,$V$5:$V$360,0))</f>
        <v>e</v>
      </c>
      <c r="G15" s="24">
        <f>INDEX($S$5:$S$360,MATCH(J15,$V$5:$V$360,0))</f>
        <v>30479.09</v>
      </c>
      <c r="H15" s="24">
        <f>INDEX($T$5:$T$360,MATCH(J15,$V$5:$V$360,0))</f>
        <v>42365.78</v>
      </c>
      <c r="I15" s="24">
        <f>INDEX($U$5:$U$360,MATCH(J15,$V$5:$V$360,0))</f>
        <v>55749.13</v>
      </c>
      <c r="J15" s="25">
        <f>LARGE($V$5:$V$360,12)</f>
        <v>13383.349999999999</v>
      </c>
      <c r="K15" s="26">
        <f>INDEX($W$5:$W$360,MATCH(J15,$V$5:$V$360,0))</f>
        <v>0.31590000231318766</v>
      </c>
      <c r="M15" s="15" t="s">
        <v>31</v>
      </c>
      <c r="N15" s="14" t="s">
        <v>378</v>
      </c>
      <c r="O15" s="14" t="s">
        <v>379</v>
      </c>
      <c r="P15" s="14" t="s">
        <v>380</v>
      </c>
      <c r="Q15" s="14" t="s">
        <v>381</v>
      </c>
      <c r="R15" s="15" t="s">
        <v>382</v>
      </c>
      <c r="S15" s="34">
        <v>291.3</v>
      </c>
      <c r="T15" s="34">
        <v>10</v>
      </c>
      <c r="U15" s="35">
        <v>10</v>
      </c>
      <c r="V15" s="38">
        <f t="shared" si="0"/>
        <v>0</v>
      </c>
      <c r="W15" s="39">
        <f t="shared" si="1"/>
        <v>0</v>
      </c>
    </row>
    <row r="16" spans="1:29" x14ac:dyDescent="0.2">
      <c r="A16" s="23" t="str">
        <f>INDEX($M$5:$M$360,MATCH(J16,$V$5:$V$360,0))</f>
        <v>2600600666</v>
      </c>
      <c r="B16" s="23" t="str">
        <f>INDEX($N$5:$N$360,MATCH(J16,$V$5:$V$360,0))</f>
        <v>a</v>
      </c>
      <c r="C16" s="23" t="str">
        <f>INDEX($O$5:$O$360,MATCH(J16,$V$5:$V$360,0))</f>
        <v>b</v>
      </c>
      <c r="D16" s="23" t="str">
        <f>INDEX($P$5:$P$360,MATCH(J16,$V$5:$V$360,0))</f>
        <v>c</v>
      </c>
      <c r="E16" s="23" t="str">
        <f>INDEX($Q$5:$Q$360,MATCH(J16,$V$5:$V$360,0))</f>
        <v>d</v>
      </c>
      <c r="F16" s="23" t="str">
        <f>INDEX($R$5:$R$360,MATCH(J16,$V$5:$V$360,0))</f>
        <v>e</v>
      </c>
      <c r="G16" s="24">
        <f>INDEX($S$5:$S$360,MATCH(J16,$V$5:$V$360,0))</f>
        <v>8143.46</v>
      </c>
      <c r="H16" s="24">
        <f>INDEX($T$5:$T$360,MATCH(J16,$V$5:$V$360,0))</f>
        <v>8113.85</v>
      </c>
      <c r="I16" s="24">
        <f>INDEX($U$5:$U$360,MATCH(J16,$V$5:$V$360,0))</f>
        <v>21181.06</v>
      </c>
      <c r="J16" s="25">
        <f>LARGE($V$5:$V$360,13)</f>
        <v>13067.210000000001</v>
      </c>
      <c r="K16" s="26" t="str">
        <f>INDEX($W$5:$W$360,MATCH(J16,$V$5:$V$360,0))</f>
        <v>&gt;100%</v>
      </c>
      <c r="M16" s="15" t="s">
        <v>32</v>
      </c>
      <c r="N16" s="14" t="s">
        <v>378</v>
      </c>
      <c r="O16" s="14" t="s">
        <v>379</v>
      </c>
      <c r="P16" s="14" t="s">
        <v>380</v>
      </c>
      <c r="Q16" s="14" t="s">
        <v>381</v>
      </c>
      <c r="R16" s="15" t="s">
        <v>382</v>
      </c>
      <c r="S16" s="34">
        <v>2334.81</v>
      </c>
      <c r="T16" s="34">
        <v>1297.71</v>
      </c>
      <c r="U16" s="35">
        <v>1567.14</v>
      </c>
      <c r="V16" s="38">
        <f t="shared" si="0"/>
        <v>269.43000000000006</v>
      </c>
      <c r="W16" s="39">
        <f t="shared" si="1"/>
        <v>0.20761957602237793</v>
      </c>
    </row>
    <row r="17" spans="1:23" x14ac:dyDescent="0.2">
      <c r="A17" s="23" t="str">
        <f>INDEX($M$5:$M$360,MATCH(J17,$V$5:$V$360,0))</f>
        <v>2600602034</v>
      </c>
      <c r="B17" s="23" t="str">
        <f>INDEX($N$5:$N$360,MATCH(J17,$V$5:$V$360,0))</f>
        <v>a</v>
      </c>
      <c r="C17" s="23" t="str">
        <f>INDEX($O$5:$O$360,MATCH(J17,$V$5:$V$360,0))</f>
        <v>b</v>
      </c>
      <c r="D17" s="23" t="str">
        <f>INDEX($P$5:$P$360,MATCH(J17,$V$5:$V$360,0))</f>
        <v>c</v>
      </c>
      <c r="E17" s="23" t="str">
        <f>INDEX($Q$5:$Q$360,MATCH(J17,$V$5:$V$360,0))</f>
        <v>d</v>
      </c>
      <c r="F17" s="23" t="str">
        <f>INDEX($R$5:$R$360,MATCH(J17,$V$5:$V$360,0))</f>
        <v>e</v>
      </c>
      <c r="G17" s="24">
        <f>INDEX($S$5:$S$360,MATCH(J17,$V$5:$V$360,0))</f>
        <v>0</v>
      </c>
      <c r="H17" s="24">
        <f>INDEX($T$5:$T$360,MATCH(J17,$V$5:$V$360,0))</f>
        <v>0</v>
      </c>
      <c r="I17" s="24">
        <f>INDEX($U$5:$U$360,MATCH(J17,$V$5:$V$360,0))</f>
        <v>11418.05</v>
      </c>
      <c r="J17" s="25">
        <f>LARGE($V$5:$V$360,14)</f>
        <v>11418.05</v>
      </c>
      <c r="K17" s="26" t="str">
        <f>INDEX($W$5:$W$360,MATCH(J17,$V$5:$V$360,0))</f>
        <v/>
      </c>
      <c r="M17" s="15" t="s">
        <v>33</v>
      </c>
      <c r="N17" s="14" t="s">
        <v>378</v>
      </c>
      <c r="O17" s="14" t="s">
        <v>379</v>
      </c>
      <c r="P17" s="14" t="s">
        <v>380</v>
      </c>
      <c r="Q17" s="14" t="s">
        <v>381</v>
      </c>
      <c r="R17" s="15" t="s">
        <v>382</v>
      </c>
      <c r="S17" s="34">
        <v>3015.5</v>
      </c>
      <c r="T17" s="34">
        <v>4636.91</v>
      </c>
      <c r="U17" s="35">
        <v>14186.88</v>
      </c>
      <c r="V17" s="38">
        <f t="shared" si="0"/>
        <v>9549.9699999999993</v>
      </c>
      <c r="W17" s="39" t="str">
        <f t="shared" si="1"/>
        <v>&gt;100%</v>
      </c>
    </row>
    <row r="18" spans="1:23" x14ac:dyDescent="0.2">
      <c r="A18" s="23" t="str">
        <f>INDEX($M$5:$M$360,MATCH(J18,$V$5:$V$360,0))</f>
        <v>2600125647</v>
      </c>
      <c r="B18" s="23" t="str">
        <f>INDEX($N$5:$N$360,MATCH(J18,$V$5:$V$360,0))</f>
        <v>a</v>
      </c>
      <c r="C18" s="23" t="str">
        <f>INDEX($O$5:$O$360,MATCH(J18,$V$5:$V$360,0))</f>
        <v>b</v>
      </c>
      <c r="D18" s="23" t="str">
        <f>INDEX($P$5:$P$360,MATCH(J18,$V$5:$V$360,0))</f>
        <v>c</v>
      </c>
      <c r="E18" s="23" t="str">
        <f>INDEX($Q$5:$Q$360,MATCH(J18,$V$5:$V$360,0))</f>
        <v>d</v>
      </c>
      <c r="F18" s="23" t="str">
        <f>INDEX($R$5:$R$360,MATCH(J18,$V$5:$V$360,0))</f>
        <v>e</v>
      </c>
      <c r="G18" s="24">
        <f>INDEX($S$5:$S$360,MATCH(J18,$V$5:$V$360,0))</f>
        <v>0</v>
      </c>
      <c r="H18" s="24">
        <f>INDEX($T$5:$T$360,MATCH(J18,$V$5:$V$360,0))</f>
        <v>0</v>
      </c>
      <c r="I18" s="24">
        <f>INDEX($U$5:$U$360,MATCH(J18,$V$5:$V$360,0))</f>
        <v>10657.72</v>
      </c>
      <c r="J18" s="25">
        <f>LARGE($V$5:$V$360,15)</f>
        <v>10657.72</v>
      </c>
      <c r="K18" s="26" t="str">
        <f>INDEX($W$5:$W$360,MATCH(J18,$V$5:$V$360,0))</f>
        <v/>
      </c>
      <c r="M18" s="15" t="s">
        <v>34</v>
      </c>
      <c r="N18" s="14" t="s">
        <v>378</v>
      </c>
      <c r="O18" s="14" t="s">
        <v>379</v>
      </c>
      <c r="P18" s="14" t="s">
        <v>380</v>
      </c>
      <c r="Q18" s="14" t="s">
        <v>381</v>
      </c>
      <c r="R18" s="15" t="s">
        <v>382</v>
      </c>
      <c r="S18" s="34">
        <v>58.28</v>
      </c>
      <c r="T18" s="34"/>
      <c r="U18" s="35"/>
      <c r="V18" s="38">
        <f t="shared" si="0"/>
        <v>0</v>
      </c>
      <c r="W18" s="39" t="str">
        <f t="shared" si="1"/>
        <v/>
      </c>
    </row>
    <row r="19" spans="1:23" x14ac:dyDescent="0.2">
      <c r="A19" s="23" t="str">
        <f>INDEX($M$5:$M$360,MATCH(J19,$V$5:$V$360,0))</f>
        <v>2600125402</v>
      </c>
      <c r="B19" s="23" t="str">
        <f>INDEX($N$5:$N$360,MATCH(J19,$V$5:$V$360,0))</f>
        <v>a</v>
      </c>
      <c r="C19" s="23" t="str">
        <f>INDEX($O$5:$O$360,MATCH(J19,$V$5:$V$360,0))</f>
        <v>b</v>
      </c>
      <c r="D19" s="23" t="str">
        <f>INDEX($P$5:$P$360,MATCH(J19,$V$5:$V$360,0))</f>
        <v>c</v>
      </c>
      <c r="E19" s="23" t="str">
        <f>INDEX($Q$5:$Q$360,MATCH(J19,$V$5:$V$360,0))</f>
        <v>d</v>
      </c>
      <c r="F19" s="23" t="str">
        <f>INDEX($R$5:$R$360,MATCH(J19,$V$5:$V$360,0))</f>
        <v>e</v>
      </c>
      <c r="G19" s="24">
        <f>INDEX($S$5:$S$360,MATCH(J19,$V$5:$V$360,0))</f>
        <v>0</v>
      </c>
      <c r="H19" s="24">
        <f>INDEX($T$5:$T$360,MATCH(J19,$V$5:$V$360,0))</f>
        <v>0</v>
      </c>
      <c r="I19" s="24">
        <f>INDEX($U$5:$U$360,MATCH(J19,$V$5:$V$360,0))</f>
        <v>10144.65</v>
      </c>
      <c r="J19" s="25">
        <f>LARGE($V$5:$V$360,16)</f>
        <v>10144.65</v>
      </c>
      <c r="K19" s="26" t="str">
        <f>INDEX($W$5:$W$360,MATCH(J19,$V$5:$V$360,0))</f>
        <v/>
      </c>
      <c r="M19" s="15" t="s">
        <v>35</v>
      </c>
      <c r="N19" s="14" t="s">
        <v>378</v>
      </c>
      <c r="O19" s="14" t="s">
        <v>379</v>
      </c>
      <c r="P19" s="14" t="s">
        <v>380</v>
      </c>
      <c r="Q19" s="14" t="s">
        <v>381</v>
      </c>
      <c r="R19" s="15" t="s">
        <v>382</v>
      </c>
      <c r="S19" s="34">
        <v>10</v>
      </c>
      <c r="T19" s="34">
        <v>20</v>
      </c>
      <c r="U19" s="35">
        <v>935.21</v>
      </c>
      <c r="V19" s="38">
        <f t="shared" si="0"/>
        <v>915.21</v>
      </c>
      <c r="W19" s="39" t="str">
        <f t="shared" si="1"/>
        <v>&gt;100%</v>
      </c>
    </row>
    <row r="20" spans="1:23" x14ac:dyDescent="0.2">
      <c r="A20" s="23" t="str">
        <f>INDEX($M$5:$M$360,MATCH(J20,$V$5:$V$360,0))</f>
        <v>2600120670</v>
      </c>
      <c r="B20" s="23" t="str">
        <f>INDEX($N$5:$N$360,MATCH(J20,$V$5:$V$360,0))</f>
        <v>a</v>
      </c>
      <c r="C20" s="23" t="str">
        <f>INDEX($O$5:$O$360,MATCH(J20,$V$5:$V$360,0))</f>
        <v>b</v>
      </c>
      <c r="D20" s="23" t="str">
        <f>INDEX($P$5:$P$360,MATCH(J20,$V$5:$V$360,0))</f>
        <v>c</v>
      </c>
      <c r="E20" s="23" t="str">
        <f>INDEX($Q$5:$Q$360,MATCH(J20,$V$5:$V$360,0))</f>
        <v>d</v>
      </c>
      <c r="F20" s="23" t="str">
        <f>INDEX($R$5:$R$360,MATCH(J20,$V$5:$V$360,0))</f>
        <v>e</v>
      </c>
      <c r="G20" s="24">
        <f>INDEX($S$5:$S$360,MATCH(J20,$V$5:$V$360,0))</f>
        <v>0</v>
      </c>
      <c r="H20" s="24">
        <f>INDEX($T$5:$T$360,MATCH(J20,$V$5:$V$360,0))</f>
        <v>2025.3</v>
      </c>
      <c r="I20" s="24">
        <f>INDEX($U$5:$U$360,MATCH(J20,$V$5:$V$360,0))</f>
        <v>12004.34</v>
      </c>
      <c r="J20" s="25">
        <f>LARGE($V$5:$V$360,17)</f>
        <v>9979.0400000000009</v>
      </c>
      <c r="K20" s="26" t="str">
        <f>INDEX($W$5:$W$360,MATCH(J20,$V$5:$V$360,0))</f>
        <v>&gt;100%</v>
      </c>
      <c r="M20" s="15" t="s">
        <v>36</v>
      </c>
      <c r="N20" s="14" t="s">
        <v>378</v>
      </c>
      <c r="O20" s="14" t="s">
        <v>379</v>
      </c>
      <c r="P20" s="14" t="s">
        <v>380</v>
      </c>
      <c r="Q20" s="14" t="s">
        <v>381</v>
      </c>
      <c r="R20" s="15" t="s">
        <v>382</v>
      </c>
      <c r="S20" s="34">
        <v>3101.65</v>
      </c>
      <c r="T20" s="34">
        <v>3788.39</v>
      </c>
      <c r="U20" s="35">
        <v>4401.68</v>
      </c>
      <c r="V20" s="38">
        <f t="shared" si="0"/>
        <v>613.29000000000042</v>
      </c>
      <c r="W20" s="39">
        <f t="shared" si="1"/>
        <v>0.16188671176937972</v>
      </c>
    </row>
    <row r="21" spans="1:23" x14ac:dyDescent="0.2">
      <c r="A21" s="23" t="str">
        <f>INDEX($M$5:$M$360,MATCH(J21,$V$5:$V$360,0))</f>
        <v>2600110969</v>
      </c>
      <c r="B21" s="23" t="str">
        <f>INDEX($N$5:$N$360,MATCH(J21,$V$5:$V$360,0))</f>
        <v>a</v>
      </c>
      <c r="C21" s="23" t="str">
        <f>INDEX($O$5:$O$360,MATCH(J21,$V$5:$V$360,0))</f>
        <v>b</v>
      </c>
      <c r="D21" s="23" t="str">
        <f>INDEX($P$5:$P$360,MATCH(J21,$V$5:$V$360,0))</f>
        <v>c</v>
      </c>
      <c r="E21" s="23" t="str">
        <f>INDEX($Q$5:$Q$360,MATCH(J21,$V$5:$V$360,0))</f>
        <v>d</v>
      </c>
      <c r="F21" s="23" t="str">
        <f>INDEX($R$5:$R$360,MATCH(J21,$V$5:$V$360,0))</f>
        <v>e</v>
      </c>
      <c r="G21" s="24">
        <f>INDEX($S$5:$S$360,MATCH(J21,$V$5:$V$360,0))</f>
        <v>3015.5</v>
      </c>
      <c r="H21" s="24">
        <f>INDEX($T$5:$T$360,MATCH(J21,$V$5:$V$360,0))</f>
        <v>4636.91</v>
      </c>
      <c r="I21" s="24">
        <f>INDEX($U$5:$U$360,MATCH(J21,$V$5:$V$360,0))</f>
        <v>14186.88</v>
      </c>
      <c r="J21" s="25">
        <f>LARGE($V$5:$V$360,18)</f>
        <v>9549.9699999999993</v>
      </c>
      <c r="K21" s="26" t="str">
        <f>INDEX($W$5:$W$360,MATCH(J21,$V$5:$V$360,0))</f>
        <v>&gt;100%</v>
      </c>
      <c r="M21" s="15" t="s">
        <v>37</v>
      </c>
      <c r="N21" s="14" t="s">
        <v>378</v>
      </c>
      <c r="O21" s="14" t="s">
        <v>379</v>
      </c>
      <c r="P21" s="14" t="s">
        <v>380</v>
      </c>
      <c r="Q21" s="14" t="s">
        <v>381</v>
      </c>
      <c r="R21" s="15" t="s">
        <v>382</v>
      </c>
      <c r="S21" s="34">
        <v>1632.59</v>
      </c>
      <c r="T21" s="34">
        <v>1365.19</v>
      </c>
      <c r="U21" s="35">
        <v>17385.97</v>
      </c>
      <c r="V21" s="38">
        <f t="shared" si="0"/>
        <v>16020.78</v>
      </c>
      <c r="W21" s="39" t="str">
        <f t="shared" si="1"/>
        <v>&gt;100%</v>
      </c>
    </row>
    <row r="22" spans="1:23" x14ac:dyDescent="0.2">
      <c r="A22" s="23" t="str">
        <f>INDEX($M$5:$M$360,MATCH(J22,$V$5:$V$360,0))</f>
        <v>2600600122</v>
      </c>
      <c r="B22" s="23" t="str">
        <f>INDEX($N$5:$N$360,MATCH(J22,$V$5:$V$360,0))</f>
        <v>a</v>
      </c>
      <c r="C22" s="23" t="str">
        <f>INDEX($O$5:$O$360,MATCH(J22,$V$5:$V$360,0))</f>
        <v>b</v>
      </c>
      <c r="D22" s="23" t="str">
        <f>INDEX($P$5:$P$360,MATCH(J22,$V$5:$V$360,0))</f>
        <v>c</v>
      </c>
      <c r="E22" s="23" t="str">
        <f>INDEX($Q$5:$Q$360,MATCH(J22,$V$5:$V$360,0))</f>
        <v>d</v>
      </c>
      <c r="F22" s="23" t="str">
        <f>INDEX($R$5:$R$360,MATCH(J22,$V$5:$V$360,0))</f>
        <v>e</v>
      </c>
      <c r="G22" s="24">
        <f>INDEX($S$5:$S$360,MATCH(J22,$V$5:$V$360,0))</f>
        <v>50</v>
      </c>
      <c r="H22" s="24">
        <f>INDEX($T$5:$T$360,MATCH(J22,$V$5:$V$360,0))</f>
        <v>40</v>
      </c>
      <c r="I22" s="24">
        <f>INDEX($U$5:$U$360,MATCH(J22,$V$5:$V$360,0))</f>
        <v>9417.17</v>
      </c>
      <c r="J22" s="25">
        <f>LARGE($V$5:$V$360,19)</f>
        <v>9377.17</v>
      </c>
      <c r="K22" s="26" t="str">
        <f>INDEX($W$5:$W$360,MATCH(J22,$V$5:$V$360,0))</f>
        <v>&gt;100%</v>
      </c>
      <c r="M22" s="15" t="s">
        <v>38</v>
      </c>
      <c r="N22" s="14" t="s">
        <v>378</v>
      </c>
      <c r="O22" s="14" t="s">
        <v>379</v>
      </c>
      <c r="P22" s="14" t="s">
        <v>380</v>
      </c>
      <c r="Q22" s="14" t="s">
        <v>381</v>
      </c>
      <c r="R22" s="15" t="s">
        <v>382</v>
      </c>
      <c r="S22" s="34"/>
      <c r="T22" s="34">
        <v>135.88</v>
      </c>
      <c r="U22" s="35">
        <v>99.28</v>
      </c>
      <c r="V22" s="38">
        <f t="shared" si="0"/>
        <v>-36.599999999999994</v>
      </c>
      <c r="W22" s="39">
        <f t="shared" si="1"/>
        <v>-0.26935531351192227</v>
      </c>
    </row>
    <row r="23" spans="1:23" x14ac:dyDescent="0.2">
      <c r="A23" s="23" t="str">
        <f>INDEX($M$5:$M$360,MATCH(J23,$V$5:$V$360,0))</f>
        <v>2600601042</v>
      </c>
      <c r="B23" s="23" t="str">
        <f>INDEX($N$5:$N$360,MATCH(J23,$V$5:$V$360,0))</f>
        <v>a</v>
      </c>
      <c r="C23" s="23" t="str">
        <f>INDEX($O$5:$O$360,MATCH(J23,$V$5:$V$360,0))</f>
        <v>b</v>
      </c>
      <c r="D23" s="23" t="str">
        <f>INDEX($P$5:$P$360,MATCH(J23,$V$5:$V$360,0))</f>
        <v>c</v>
      </c>
      <c r="E23" s="23" t="str">
        <f>INDEX($Q$5:$Q$360,MATCH(J23,$V$5:$V$360,0))</f>
        <v>d</v>
      </c>
      <c r="F23" s="23" t="str">
        <f>INDEX($R$5:$R$360,MATCH(J23,$V$5:$V$360,0))</f>
        <v>e</v>
      </c>
      <c r="G23" s="24">
        <f>INDEX($S$5:$S$360,MATCH(J23,$V$5:$V$360,0))</f>
        <v>180.03</v>
      </c>
      <c r="H23" s="24">
        <f>INDEX($T$5:$T$360,MATCH(J23,$V$5:$V$360,0))</f>
        <v>183.94</v>
      </c>
      <c r="I23" s="24">
        <f>INDEX($U$5:$U$360,MATCH(J23,$V$5:$V$360,0))</f>
        <v>8520.75</v>
      </c>
      <c r="J23" s="25">
        <f>LARGE($V$5:$V$360,20)</f>
        <v>8336.81</v>
      </c>
      <c r="K23" s="26" t="str">
        <f>INDEX($W$5:$W$360,MATCH(J23,$V$5:$V$360,0))</f>
        <v>&gt;100%</v>
      </c>
      <c r="M23" s="15" t="s">
        <v>39</v>
      </c>
      <c r="N23" s="14" t="s">
        <v>378</v>
      </c>
      <c r="O23" s="14" t="s">
        <v>379</v>
      </c>
      <c r="P23" s="14" t="s">
        <v>380</v>
      </c>
      <c r="Q23" s="14" t="s">
        <v>381</v>
      </c>
      <c r="R23" s="15" t="s">
        <v>382</v>
      </c>
      <c r="S23" s="34">
        <v>20</v>
      </c>
      <c r="T23" s="34"/>
      <c r="U23" s="35"/>
      <c r="V23" s="38">
        <f t="shared" si="0"/>
        <v>0</v>
      </c>
      <c r="W23" s="39" t="str">
        <f t="shared" si="1"/>
        <v/>
      </c>
    </row>
    <row r="24" spans="1:23" x14ac:dyDescent="0.2">
      <c r="A24" s="40" t="str">
        <f>INDEX($M$5:$M$360,MATCH(J24,$V$5:$V$360,0))</f>
        <v>2600602785</v>
      </c>
      <c r="B24" s="41" t="str">
        <f>INDEX($N$5:$N$360,MATCH(J24,$V$5:$V$360,0))</f>
        <v>a</v>
      </c>
      <c r="C24" s="41" t="str">
        <f>INDEX($O$5:$O$360,MATCH(J24,$V$5:$V$360,0))</f>
        <v>b</v>
      </c>
      <c r="D24" s="41" t="str">
        <f>INDEX($P$5:$P$360,MATCH(J24,$V$5:$V$360,0))</f>
        <v>c</v>
      </c>
      <c r="E24" s="41" t="str">
        <f>INDEX($Q$5:$Q$360,MATCH(J24,$V$5:$V$360,0))</f>
        <v>d</v>
      </c>
      <c r="F24" s="41" t="str">
        <f>INDEX($R$5:$R$360,MATCH(J24,$V$5:$V$360,0))</f>
        <v>e</v>
      </c>
      <c r="G24" s="42">
        <f>INDEX($S$5:$S$360,MATCH(J24,$V$5:$V$360,0))</f>
        <v>119420.57</v>
      </c>
      <c r="H24" s="42">
        <f>INDEX($T$5:$T$360,MATCH(J24,$V$5:$V$360,0))</f>
        <v>119199.92</v>
      </c>
      <c r="I24" s="42">
        <f>INDEX($U$5:$U$360,MATCH(J24,$V$5:$V$360,0))</f>
        <v>71918.259999999995</v>
      </c>
      <c r="J24" s="43">
        <f>SMALL($V$5:$V$360,1)</f>
        <v>-47281.66</v>
      </c>
      <c r="K24" s="44">
        <f>INDEX($W$5:$W$360,MATCH(J24,$V$5:$V$360,0))</f>
        <v>-0.39665848769026024</v>
      </c>
      <c r="M24" s="15" t="s">
        <v>40</v>
      </c>
      <c r="N24" s="14" t="s">
        <v>378</v>
      </c>
      <c r="O24" s="14" t="s">
        <v>379</v>
      </c>
      <c r="P24" s="14" t="s">
        <v>380</v>
      </c>
      <c r="Q24" s="14" t="s">
        <v>381</v>
      </c>
      <c r="R24" s="15" t="s">
        <v>382</v>
      </c>
      <c r="S24" s="34">
        <v>120.96</v>
      </c>
      <c r="T24" s="34"/>
      <c r="U24" s="35"/>
      <c r="V24" s="38">
        <f t="shared" si="0"/>
        <v>0</v>
      </c>
      <c r="W24" s="39" t="str">
        <f t="shared" si="1"/>
        <v/>
      </c>
    </row>
    <row r="25" spans="1:23" x14ac:dyDescent="0.2">
      <c r="A25" s="40" t="str">
        <f>INDEX($M$5:$M$360,MATCH(J25,$V$5:$V$360,0))</f>
        <v>2600600137</v>
      </c>
      <c r="B25" s="41" t="str">
        <f>INDEX($N$5:$N$360,MATCH(J25,$V$5:$V$360,0))</f>
        <v>a</v>
      </c>
      <c r="C25" s="41" t="str">
        <f>INDEX($O$5:$O$360,MATCH(J25,$V$5:$V$360,0))</f>
        <v>b</v>
      </c>
      <c r="D25" s="41" t="str">
        <f>INDEX($P$5:$P$360,MATCH(J25,$V$5:$V$360,0))</f>
        <v>c</v>
      </c>
      <c r="E25" s="41" t="str">
        <f>INDEX($Q$5:$Q$360,MATCH(J25,$V$5:$V$360,0))</f>
        <v>d</v>
      </c>
      <c r="F25" s="41" t="str">
        <f>INDEX($R$5:$R$360,MATCH(J25,$V$5:$V$360,0))</f>
        <v>e</v>
      </c>
      <c r="G25" s="42">
        <f>INDEX($S$5:$S$360,MATCH(J25,$V$5:$V$360,0))</f>
        <v>1070.0899999999999</v>
      </c>
      <c r="H25" s="42">
        <f>INDEX($T$5:$T$360,MATCH(J25,$V$5:$V$360,0))</f>
        <v>33110.36</v>
      </c>
      <c r="I25" s="42">
        <f>INDEX($U$5:$U$360,MATCH(J25,$V$5:$V$360,0))</f>
        <v>0</v>
      </c>
      <c r="J25" s="43">
        <f>SMALL($V$5:$V$360,2)</f>
        <v>-33110.36</v>
      </c>
      <c r="K25" s="44">
        <f>INDEX($W$5:$W$360,MATCH(J25,$V$5:$V$360,0))</f>
        <v>-1</v>
      </c>
      <c r="M25" s="15" t="s">
        <v>41</v>
      </c>
      <c r="N25" s="14" t="s">
        <v>378</v>
      </c>
      <c r="O25" s="14" t="s">
        <v>379</v>
      </c>
      <c r="P25" s="14" t="s">
        <v>380</v>
      </c>
      <c r="Q25" s="14" t="s">
        <v>381</v>
      </c>
      <c r="R25" s="15" t="s">
        <v>382</v>
      </c>
      <c r="S25" s="34"/>
      <c r="T25" s="34">
        <v>788.1</v>
      </c>
      <c r="U25" s="35"/>
      <c r="V25" s="38">
        <f t="shared" si="0"/>
        <v>-788.1</v>
      </c>
      <c r="W25" s="39">
        <f t="shared" si="1"/>
        <v>-1</v>
      </c>
    </row>
    <row r="26" spans="1:23" x14ac:dyDescent="0.2">
      <c r="A26" s="40" t="str">
        <f>INDEX($M$5:$M$360,MATCH(J26,$V$5:$V$360,0))</f>
        <v>2600600168</v>
      </c>
      <c r="B26" s="41" t="str">
        <f>INDEX($N$5:$N$360,MATCH(J26,$V$5:$V$360,0))</f>
        <v>a</v>
      </c>
      <c r="C26" s="41" t="str">
        <f>INDEX($O$5:$O$360,MATCH(J26,$V$5:$V$360,0))</f>
        <v>b</v>
      </c>
      <c r="D26" s="41" t="str">
        <f>INDEX($P$5:$P$360,MATCH(J26,$V$5:$V$360,0))</f>
        <v>c</v>
      </c>
      <c r="E26" s="41" t="str">
        <f>INDEX($Q$5:$Q$360,MATCH(J26,$V$5:$V$360,0))</f>
        <v>d</v>
      </c>
      <c r="F26" s="41" t="str">
        <f>INDEX($R$5:$R$360,MATCH(J26,$V$5:$V$360,0))</f>
        <v>e</v>
      </c>
      <c r="G26" s="42">
        <f>INDEX($S$5:$S$360,MATCH(J26,$V$5:$V$360,0))</f>
        <v>5600.63</v>
      </c>
      <c r="H26" s="42">
        <f>INDEX($T$5:$T$360,MATCH(J26,$V$5:$V$360,0))</f>
        <v>38401.5</v>
      </c>
      <c r="I26" s="42">
        <f>INDEX($U$5:$U$360,MATCH(J26,$V$5:$V$360,0))</f>
        <v>5562.08</v>
      </c>
      <c r="J26" s="43">
        <f>SMALL($V$5:$V$360,3)</f>
        <v>-32839.42</v>
      </c>
      <c r="K26" s="44">
        <f>INDEX($W$5:$W$360,MATCH(J26,$V$5:$V$360,0))</f>
        <v>-0.85515982448602268</v>
      </c>
      <c r="M26" s="15" t="s">
        <v>42</v>
      </c>
      <c r="N26" s="14" t="s">
        <v>378</v>
      </c>
      <c r="O26" s="14" t="s">
        <v>379</v>
      </c>
      <c r="P26" s="14" t="s">
        <v>380</v>
      </c>
      <c r="Q26" s="14" t="s">
        <v>381</v>
      </c>
      <c r="R26" s="15" t="s">
        <v>382</v>
      </c>
      <c r="S26" s="34">
        <v>22256.81</v>
      </c>
      <c r="T26" s="34">
        <v>33825.81</v>
      </c>
      <c r="U26" s="35">
        <v>16191.57</v>
      </c>
      <c r="V26" s="38">
        <f t="shared" si="0"/>
        <v>-17634.239999999998</v>
      </c>
      <c r="W26" s="39">
        <f t="shared" si="1"/>
        <v>-0.52132498822644602</v>
      </c>
    </row>
    <row r="27" spans="1:23" x14ac:dyDescent="0.2">
      <c r="A27" s="40" t="str">
        <f>INDEX($M$5:$M$360,MATCH(J27,$V$5:$V$360,0))</f>
        <v>2600114024</v>
      </c>
      <c r="B27" s="41" t="str">
        <f>INDEX($N$5:$N$360,MATCH(J27,$V$5:$V$360,0))</f>
        <v>a</v>
      </c>
      <c r="C27" s="41" t="str">
        <f>INDEX($O$5:$O$360,MATCH(J27,$V$5:$V$360,0))</f>
        <v>b</v>
      </c>
      <c r="D27" s="41" t="str">
        <f>INDEX($P$5:$P$360,MATCH(J27,$V$5:$V$360,0))</f>
        <v>c</v>
      </c>
      <c r="E27" s="41" t="str">
        <f>INDEX($Q$5:$Q$360,MATCH(J27,$V$5:$V$360,0))</f>
        <v>d</v>
      </c>
      <c r="F27" s="41" t="str">
        <f>INDEX($R$5:$R$360,MATCH(J27,$V$5:$V$360,0))</f>
        <v>e</v>
      </c>
      <c r="G27" s="42">
        <f>INDEX($S$5:$S$360,MATCH(J27,$V$5:$V$360,0))</f>
        <v>0</v>
      </c>
      <c r="H27" s="42">
        <f>INDEX($T$5:$T$360,MATCH(J27,$V$5:$V$360,0))</f>
        <v>32348.9</v>
      </c>
      <c r="I27" s="42">
        <f>INDEX($U$5:$U$360,MATCH(J27,$V$5:$V$360,0))</f>
        <v>746.07</v>
      </c>
      <c r="J27" s="43">
        <f>SMALL($V$5:$V$360,4)</f>
        <v>-31602.83</v>
      </c>
      <c r="K27" s="44">
        <f>INDEX($W$5:$W$360,MATCH(J27,$V$5:$V$360,0))</f>
        <v>-0.97693677373882881</v>
      </c>
      <c r="M27" s="15" t="s">
        <v>43</v>
      </c>
      <c r="N27" s="14" t="s">
        <v>378</v>
      </c>
      <c r="O27" s="14" t="s">
        <v>379</v>
      </c>
      <c r="P27" s="14" t="s">
        <v>380</v>
      </c>
      <c r="Q27" s="14" t="s">
        <v>381</v>
      </c>
      <c r="R27" s="15" t="s">
        <v>382</v>
      </c>
      <c r="S27" s="34">
        <v>4455.03</v>
      </c>
      <c r="T27" s="34"/>
      <c r="U27" s="35">
        <v>1087.52</v>
      </c>
      <c r="V27" s="38">
        <f t="shared" si="0"/>
        <v>1087.52</v>
      </c>
      <c r="W27" s="39" t="str">
        <f t="shared" si="1"/>
        <v/>
      </c>
    </row>
    <row r="28" spans="1:23" x14ac:dyDescent="0.2">
      <c r="A28" s="40" t="str">
        <f>INDEX($M$5:$M$360,MATCH(J28,$V$5:$V$360,0))</f>
        <v>2600600653</v>
      </c>
      <c r="B28" s="41" t="str">
        <f>INDEX($N$5:$N$360,MATCH(J28,$V$5:$V$360,0))</f>
        <v>a</v>
      </c>
      <c r="C28" s="41" t="str">
        <f>INDEX($O$5:$O$360,MATCH(J28,$V$5:$V$360,0))</f>
        <v>b</v>
      </c>
      <c r="D28" s="41" t="str">
        <f>INDEX($P$5:$P$360,MATCH(J28,$V$5:$V$360,0))</f>
        <v>c</v>
      </c>
      <c r="E28" s="41" t="str">
        <f>INDEX($Q$5:$Q$360,MATCH(J28,$V$5:$V$360,0))</f>
        <v>d</v>
      </c>
      <c r="F28" s="41" t="str">
        <f>INDEX($R$5:$R$360,MATCH(J28,$V$5:$V$360,0))</f>
        <v>e</v>
      </c>
      <c r="G28" s="42">
        <f>INDEX($S$5:$S$360,MATCH(J28,$V$5:$V$360,0))</f>
        <v>82223</v>
      </c>
      <c r="H28" s="42">
        <f>INDEX($T$5:$T$360,MATCH(J28,$V$5:$V$360,0))</f>
        <v>95164.28</v>
      </c>
      <c r="I28" s="42">
        <f>INDEX($U$5:$U$360,MATCH(J28,$V$5:$V$360,0))</f>
        <v>74013.09</v>
      </c>
      <c r="J28" s="43">
        <f>SMALL($V$5:$V$360,5)</f>
        <v>-21151.190000000002</v>
      </c>
      <c r="K28" s="44">
        <f>INDEX($W$5:$W$360,MATCH(J28,$V$5:$V$360,0))</f>
        <v>-0.22225975964931383</v>
      </c>
      <c r="M28" s="15" t="s">
        <v>44</v>
      </c>
      <c r="N28" s="14" t="s">
        <v>378</v>
      </c>
      <c r="O28" s="14" t="s">
        <v>379</v>
      </c>
      <c r="P28" s="14" t="s">
        <v>380</v>
      </c>
      <c r="Q28" s="14" t="s">
        <v>381</v>
      </c>
      <c r="R28" s="15" t="s">
        <v>382</v>
      </c>
      <c r="S28" s="34">
        <v>1571.41</v>
      </c>
      <c r="T28" s="34">
        <v>11810.48</v>
      </c>
      <c r="U28" s="35">
        <v>13993.41</v>
      </c>
      <c r="V28" s="38">
        <f t="shared" si="0"/>
        <v>2182.9300000000003</v>
      </c>
      <c r="W28" s="39">
        <f t="shared" si="1"/>
        <v>0.18482991377149788</v>
      </c>
    </row>
    <row r="29" spans="1:23" x14ac:dyDescent="0.2">
      <c r="A29" s="40" t="str">
        <f>INDEX($M$5:$M$360,MATCH(J29,$V$5:$V$360,0))</f>
        <v>2600601936</v>
      </c>
      <c r="B29" s="41" t="str">
        <f>INDEX($N$5:$N$360,MATCH(J29,$V$5:$V$360,0))</f>
        <v>a</v>
      </c>
      <c r="C29" s="41" t="str">
        <f>INDEX($O$5:$O$360,MATCH(J29,$V$5:$V$360,0))</f>
        <v>b</v>
      </c>
      <c r="D29" s="41" t="str">
        <f>INDEX($P$5:$P$360,MATCH(J29,$V$5:$V$360,0))</f>
        <v>c</v>
      </c>
      <c r="E29" s="41" t="str">
        <f>INDEX($Q$5:$Q$360,MATCH(J29,$V$5:$V$360,0))</f>
        <v>d</v>
      </c>
      <c r="F29" s="41" t="str">
        <f>INDEX($R$5:$R$360,MATCH(J29,$V$5:$V$360,0))</f>
        <v>e</v>
      </c>
      <c r="G29" s="42">
        <f>INDEX($S$5:$S$360,MATCH(J29,$V$5:$V$360,0))</f>
        <v>29877.78</v>
      </c>
      <c r="H29" s="42">
        <f>INDEX($T$5:$T$360,MATCH(J29,$V$5:$V$360,0))</f>
        <v>24732.639999999999</v>
      </c>
      <c r="I29" s="42">
        <f>INDEX($U$5:$U$360,MATCH(J29,$V$5:$V$360,0))</f>
        <v>5791.88</v>
      </c>
      <c r="J29" s="43">
        <f>SMALL($V$5:$V$360,6)</f>
        <v>-18940.759999999998</v>
      </c>
      <c r="K29" s="44">
        <f>INDEX($W$5:$W$360,MATCH(J29,$V$5:$V$360,0))</f>
        <v>-0.76582038957426291</v>
      </c>
      <c r="M29" s="15" t="s">
        <v>45</v>
      </c>
      <c r="N29" s="14" t="s">
        <v>378</v>
      </c>
      <c r="O29" s="14" t="s">
        <v>379</v>
      </c>
      <c r="P29" s="14" t="s">
        <v>380</v>
      </c>
      <c r="Q29" s="14" t="s">
        <v>381</v>
      </c>
      <c r="R29" s="15" t="s">
        <v>382</v>
      </c>
      <c r="S29" s="34"/>
      <c r="T29" s="34"/>
      <c r="U29" s="35">
        <v>10</v>
      </c>
      <c r="V29" s="38">
        <f t="shared" si="0"/>
        <v>10</v>
      </c>
      <c r="W29" s="39" t="str">
        <f t="shared" si="1"/>
        <v/>
      </c>
    </row>
    <row r="30" spans="1:23" x14ac:dyDescent="0.2">
      <c r="A30" s="40" t="str">
        <f>INDEX($M$5:$M$360,MATCH(J30,$V$5:$V$360,0))</f>
        <v>2600111805</v>
      </c>
      <c r="B30" s="41" t="str">
        <f>INDEX($N$5:$N$360,MATCH(J30,$V$5:$V$360,0))</f>
        <v>a</v>
      </c>
      <c r="C30" s="41" t="str">
        <f>INDEX($O$5:$O$360,MATCH(J30,$V$5:$V$360,0))</f>
        <v>b</v>
      </c>
      <c r="D30" s="41" t="str">
        <f>INDEX($P$5:$P$360,MATCH(J30,$V$5:$V$360,0))</f>
        <v>c</v>
      </c>
      <c r="E30" s="41" t="str">
        <f>INDEX($Q$5:$Q$360,MATCH(J30,$V$5:$V$360,0))</f>
        <v>d</v>
      </c>
      <c r="F30" s="41" t="str">
        <f>INDEX($R$5:$R$360,MATCH(J30,$V$5:$V$360,0))</f>
        <v>e</v>
      </c>
      <c r="G30" s="42">
        <f>INDEX($S$5:$S$360,MATCH(J30,$V$5:$V$360,0))</f>
        <v>22256.81</v>
      </c>
      <c r="H30" s="42">
        <f>INDEX($T$5:$T$360,MATCH(J30,$V$5:$V$360,0))</f>
        <v>33825.81</v>
      </c>
      <c r="I30" s="42">
        <f>INDEX($U$5:$U$360,MATCH(J30,$V$5:$V$360,0))</f>
        <v>16191.57</v>
      </c>
      <c r="J30" s="43">
        <f>SMALL($V$5:$V$360,7)</f>
        <v>-17634.239999999998</v>
      </c>
      <c r="K30" s="44">
        <f>INDEX($W$5:$W$360,MATCH(J30,$V$5:$V$360,0))</f>
        <v>-0.52132498822644602</v>
      </c>
      <c r="M30" s="15" t="s">
        <v>46</v>
      </c>
      <c r="N30" s="14" t="s">
        <v>378</v>
      </c>
      <c r="O30" s="14" t="s">
        <v>379</v>
      </c>
      <c r="P30" s="14" t="s">
        <v>380</v>
      </c>
      <c r="Q30" s="14" t="s">
        <v>381</v>
      </c>
      <c r="R30" s="15" t="s">
        <v>382</v>
      </c>
      <c r="S30" s="34"/>
      <c r="T30" s="34">
        <v>116.88</v>
      </c>
      <c r="U30" s="35"/>
      <c r="V30" s="38">
        <f t="shared" si="0"/>
        <v>-116.88</v>
      </c>
      <c r="W30" s="39">
        <f t="shared" si="1"/>
        <v>-1</v>
      </c>
    </row>
    <row r="31" spans="1:23" x14ac:dyDescent="0.2">
      <c r="A31" s="40" t="str">
        <f>INDEX($M$5:$M$360,MATCH(J31,$V$5:$V$360,0))</f>
        <v>2600600022</v>
      </c>
      <c r="B31" s="41" t="str">
        <f>INDEX($N$5:$N$360,MATCH(J31,$V$5:$V$360,0))</f>
        <v>a</v>
      </c>
      <c r="C31" s="41" t="str">
        <f>INDEX($O$5:$O$360,MATCH(J31,$V$5:$V$360,0))</f>
        <v>b</v>
      </c>
      <c r="D31" s="41" t="str">
        <f>INDEX($P$5:$P$360,MATCH(J31,$V$5:$V$360,0))</f>
        <v>c</v>
      </c>
      <c r="E31" s="41" t="str">
        <f>INDEX($Q$5:$Q$360,MATCH(J31,$V$5:$V$360,0))</f>
        <v>d</v>
      </c>
      <c r="F31" s="41" t="str">
        <f>INDEX($R$5:$R$360,MATCH(J31,$V$5:$V$360,0))</f>
        <v>e</v>
      </c>
      <c r="G31" s="42">
        <f>INDEX($S$5:$S$360,MATCH(J31,$V$5:$V$360,0))</f>
        <v>6329.88</v>
      </c>
      <c r="H31" s="42">
        <f>INDEX($T$5:$T$360,MATCH(J31,$V$5:$V$360,0))</f>
        <v>20614.34</v>
      </c>
      <c r="I31" s="42">
        <f>INDEX($U$5:$U$360,MATCH(J31,$V$5:$V$360,0))</f>
        <v>7298.6</v>
      </c>
      <c r="J31" s="43">
        <f>SMALL($V$5:$V$360,8)</f>
        <v>-13315.74</v>
      </c>
      <c r="K31" s="44">
        <f>INDEX($W$5:$W$360,MATCH(J31,$V$5:$V$360,0))</f>
        <v>-0.64594549231263287</v>
      </c>
      <c r="M31" s="15" t="s">
        <v>47</v>
      </c>
      <c r="N31" s="14" t="s">
        <v>378</v>
      </c>
      <c r="O31" s="14" t="s">
        <v>379</v>
      </c>
      <c r="P31" s="14" t="s">
        <v>380</v>
      </c>
      <c r="Q31" s="14" t="s">
        <v>381</v>
      </c>
      <c r="R31" s="15" t="s">
        <v>382</v>
      </c>
      <c r="S31" s="34"/>
      <c r="T31" s="34"/>
      <c r="U31" s="35">
        <v>111.58</v>
      </c>
      <c r="V31" s="38">
        <f t="shared" si="0"/>
        <v>111.58</v>
      </c>
      <c r="W31" s="39" t="str">
        <f t="shared" si="1"/>
        <v/>
      </c>
    </row>
    <row r="32" spans="1:23" x14ac:dyDescent="0.2">
      <c r="A32" s="40" t="str">
        <f>INDEX($M$5:$M$360,MATCH(J32,$V$5:$V$360,0))</f>
        <v>2600600584</v>
      </c>
      <c r="B32" s="41" t="str">
        <f>INDEX($N$5:$N$360,MATCH(J32,$V$5:$V$360,0))</f>
        <v>a</v>
      </c>
      <c r="C32" s="41" t="str">
        <f>INDEX($O$5:$O$360,MATCH(J32,$V$5:$V$360,0))</f>
        <v>b</v>
      </c>
      <c r="D32" s="41" t="str">
        <f>INDEX($P$5:$P$360,MATCH(J32,$V$5:$V$360,0))</f>
        <v>c</v>
      </c>
      <c r="E32" s="41" t="str">
        <f>INDEX($Q$5:$Q$360,MATCH(J32,$V$5:$V$360,0))</f>
        <v>d</v>
      </c>
      <c r="F32" s="41" t="str">
        <f>INDEX($R$5:$R$360,MATCH(J32,$V$5:$V$360,0))</f>
        <v>e</v>
      </c>
      <c r="G32" s="42">
        <f>INDEX($S$5:$S$360,MATCH(J32,$V$5:$V$360,0))</f>
        <v>24622.3</v>
      </c>
      <c r="H32" s="42">
        <f>INDEX($T$5:$T$360,MATCH(J32,$V$5:$V$360,0))</f>
        <v>30090.78</v>
      </c>
      <c r="I32" s="42">
        <f>INDEX($U$5:$U$360,MATCH(J32,$V$5:$V$360,0))</f>
        <v>16955.599999999999</v>
      </c>
      <c r="J32" s="43">
        <f>SMALL($V$5:$V$360,9)</f>
        <v>-13135.18</v>
      </c>
      <c r="K32" s="44">
        <f>INDEX($W$5:$W$360,MATCH(J32,$V$5:$V$360,0))</f>
        <v>-0.43651842856848511</v>
      </c>
      <c r="M32" s="15" t="s">
        <v>48</v>
      </c>
      <c r="N32" s="14" t="s">
        <v>378</v>
      </c>
      <c r="O32" s="14" t="s">
        <v>379</v>
      </c>
      <c r="P32" s="14" t="s">
        <v>380</v>
      </c>
      <c r="Q32" s="14" t="s">
        <v>381</v>
      </c>
      <c r="R32" s="15" t="s">
        <v>382</v>
      </c>
      <c r="S32" s="34">
        <v>88.82</v>
      </c>
      <c r="T32" s="34">
        <v>88.59</v>
      </c>
      <c r="U32" s="35">
        <v>88.82</v>
      </c>
      <c r="V32" s="38">
        <f t="shared" si="0"/>
        <v>0.22999999999998977</v>
      </c>
      <c r="W32" s="39">
        <f t="shared" si="1"/>
        <v>2.5962298227789793E-3</v>
      </c>
    </row>
    <row r="33" spans="1:23" x14ac:dyDescent="0.2">
      <c r="A33" s="40" t="str">
        <f>INDEX($M$5:$M$360,MATCH(J33,$V$5:$V$360,0))</f>
        <v>2600601366</v>
      </c>
      <c r="B33" s="41" t="str">
        <f>INDEX($N$5:$N$360,MATCH(J33,$V$5:$V$360,0))</f>
        <v>a</v>
      </c>
      <c r="C33" s="41" t="str">
        <f>INDEX($O$5:$O$360,MATCH(J33,$V$5:$V$360,0))</f>
        <v>b</v>
      </c>
      <c r="D33" s="41" t="str">
        <f>INDEX($P$5:$P$360,MATCH(J33,$V$5:$V$360,0))</f>
        <v>c</v>
      </c>
      <c r="E33" s="41" t="str">
        <f>INDEX($Q$5:$Q$360,MATCH(J33,$V$5:$V$360,0))</f>
        <v>d</v>
      </c>
      <c r="F33" s="41" t="str">
        <f>INDEX($R$5:$R$360,MATCH(J33,$V$5:$V$360,0))</f>
        <v>e</v>
      </c>
      <c r="G33" s="42">
        <f>INDEX($S$5:$S$360,MATCH(J33,$V$5:$V$360,0))</f>
        <v>3601.75</v>
      </c>
      <c r="H33" s="42">
        <f>INDEX($T$5:$T$360,MATCH(J33,$V$5:$V$360,0))</f>
        <v>15165.94</v>
      </c>
      <c r="I33" s="42">
        <f>INDEX($U$5:$U$360,MATCH(J33,$V$5:$V$360,0))</f>
        <v>2385.0100000000002</v>
      </c>
      <c r="J33" s="43">
        <f>SMALL($V$5:$V$360,10)</f>
        <v>-12780.93</v>
      </c>
      <c r="K33" s="44">
        <f>INDEX($W$5:$W$360,MATCH(J33,$V$5:$V$360,0))</f>
        <v>-0.84273905870654897</v>
      </c>
      <c r="M33" s="15" t="s">
        <v>49</v>
      </c>
      <c r="N33" s="14" t="s">
        <v>378</v>
      </c>
      <c r="O33" s="14" t="s">
        <v>379</v>
      </c>
      <c r="P33" s="14" t="s">
        <v>380</v>
      </c>
      <c r="Q33" s="14" t="s">
        <v>381</v>
      </c>
      <c r="R33" s="15" t="s">
        <v>382</v>
      </c>
      <c r="S33" s="34"/>
      <c r="T33" s="34"/>
      <c r="U33" s="35">
        <v>63.14</v>
      </c>
      <c r="V33" s="38">
        <f t="shared" si="0"/>
        <v>63.14</v>
      </c>
      <c r="W33" s="39" t="str">
        <f t="shared" si="1"/>
        <v/>
      </c>
    </row>
    <row r="34" spans="1:23" x14ac:dyDescent="0.2">
      <c r="A34" s="40" t="str">
        <f>INDEX($M$5:$M$360,MATCH(J34,$V$5:$V$360,0))</f>
        <v>2600600794</v>
      </c>
      <c r="B34" s="41" t="str">
        <f>INDEX($N$5:$N$360,MATCH(J34,$V$5:$V$360,0))</f>
        <v>a</v>
      </c>
      <c r="C34" s="41" t="str">
        <f>INDEX($O$5:$O$360,MATCH(J34,$V$5:$V$360,0))</f>
        <v>b</v>
      </c>
      <c r="D34" s="41" t="str">
        <f>INDEX($P$5:$P$360,MATCH(J34,$V$5:$V$360,0))</f>
        <v>c</v>
      </c>
      <c r="E34" s="41" t="str">
        <f>INDEX($Q$5:$Q$360,MATCH(J34,$V$5:$V$360,0))</f>
        <v>d</v>
      </c>
      <c r="F34" s="41" t="str">
        <f>INDEX($R$5:$R$360,MATCH(J34,$V$5:$V$360,0))</f>
        <v>e</v>
      </c>
      <c r="G34" s="42">
        <f>INDEX($S$5:$S$360,MATCH(J34,$V$5:$V$360,0))</f>
        <v>3889.77</v>
      </c>
      <c r="H34" s="42">
        <f>INDEX($T$5:$T$360,MATCH(J34,$V$5:$V$360,0))</f>
        <v>15410.11</v>
      </c>
      <c r="I34" s="42">
        <f>INDEX($U$5:$U$360,MATCH(J34,$V$5:$V$360,0))</f>
        <v>2804.83</v>
      </c>
      <c r="J34" s="43">
        <f>SMALL($V$5:$V$360,11)</f>
        <v>-12605.28</v>
      </c>
      <c r="K34" s="44">
        <f>INDEX($W$5:$W$360,MATCH(J34,$V$5:$V$360,0))</f>
        <v>-0.81798767172979303</v>
      </c>
      <c r="M34" s="15" t="s">
        <v>50</v>
      </c>
      <c r="N34" s="14" t="s">
        <v>378</v>
      </c>
      <c r="O34" s="14" t="s">
        <v>379</v>
      </c>
      <c r="P34" s="14" t="s">
        <v>380</v>
      </c>
      <c r="Q34" s="14" t="s">
        <v>381</v>
      </c>
      <c r="R34" s="15" t="s">
        <v>382</v>
      </c>
      <c r="S34" s="34">
        <v>745.74</v>
      </c>
      <c r="T34" s="34">
        <v>2428.5300000000002</v>
      </c>
      <c r="U34" s="35">
        <v>497.17</v>
      </c>
      <c r="V34" s="38">
        <f t="shared" si="0"/>
        <v>-1931.3600000000001</v>
      </c>
      <c r="W34" s="39">
        <f t="shared" si="1"/>
        <v>-0.79527944888471624</v>
      </c>
    </row>
    <row r="35" spans="1:23" x14ac:dyDescent="0.2">
      <c r="A35" s="40" t="str">
        <f>INDEX($M$5:$M$360,MATCH(J35,$V$5:$V$360,0))</f>
        <v>2600602328</v>
      </c>
      <c r="B35" s="41" t="str">
        <f>INDEX($N$5:$N$360,MATCH(J35,$V$5:$V$360,0))</f>
        <v>a</v>
      </c>
      <c r="C35" s="41" t="str">
        <f>INDEX($O$5:$O$360,MATCH(J35,$V$5:$V$360,0))</f>
        <v>b</v>
      </c>
      <c r="D35" s="41" t="str">
        <f>INDEX($P$5:$P$360,MATCH(J35,$V$5:$V$360,0))</f>
        <v>c</v>
      </c>
      <c r="E35" s="41" t="str">
        <f>INDEX($Q$5:$Q$360,MATCH(J35,$V$5:$V$360,0))</f>
        <v>d</v>
      </c>
      <c r="F35" s="41" t="str">
        <f>INDEX($R$5:$R$360,MATCH(J35,$V$5:$V$360,0))</f>
        <v>e</v>
      </c>
      <c r="G35" s="42">
        <f>INDEX($S$5:$S$360,MATCH(J35,$V$5:$V$360,0))</f>
        <v>52.38</v>
      </c>
      <c r="H35" s="42">
        <f>INDEX($T$5:$T$360,MATCH(J35,$V$5:$V$360,0))</f>
        <v>14010.67</v>
      </c>
      <c r="I35" s="42">
        <f>INDEX($U$5:$U$360,MATCH(J35,$V$5:$V$360,0))</f>
        <v>1574.57</v>
      </c>
      <c r="J35" s="43">
        <f>SMALL($V$5:$V$360,12)</f>
        <v>-12436.1</v>
      </c>
      <c r="K35" s="44">
        <f>INDEX($W$5:$W$360,MATCH(J35,$V$5:$V$360,0))</f>
        <v>-0.88761636666911725</v>
      </c>
      <c r="M35" s="15" t="s">
        <v>51</v>
      </c>
      <c r="N35" s="14" t="s">
        <v>378</v>
      </c>
      <c r="O35" s="14" t="s">
        <v>379</v>
      </c>
      <c r="P35" s="14" t="s">
        <v>380</v>
      </c>
      <c r="Q35" s="14" t="s">
        <v>381</v>
      </c>
      <c r="R35" s="15" t="s">
        <v>382</v>
      </c>
      <c r="S35" s="34">
        <v>396.41</v>
      </c>
      <c r="T35" s="34">
        <v>160.33000000000001</v>
      </c>
      <c r="U35" s="35">
        <v>86.78</v>
      </c>
      <c r="V35" s="38">
        <f t="shared" si="0"/>
        <v>-73.550000000000011</v>
      </c>
      <c r="W35" s="39">
        <f t="shared" si="1"/>
        <v>-0.45874134597392879</v>
      </c>
    </row>
    <row r="36" spans="1:23" x14ac:dyDescent="0.2">
      <c r="A36" s="40" t="str">
        <f>INDEX($M$5:$M$360,MATCH(J36,$V$5:$V$360,0))</f>
        <v>2600120474</v>
      </c>
      <c r="B36" s="41" t="str">
        <f>INDEX($N$5:$N$360,MATCH(J36,$V$5:$V$360,0))</f>
        <v>a</v>
      </c>
      <c r="C36" s="41" t="str">
        <f>INDEX($O$5:$O$360,MATCH(J36,$V$5:$V$360,0))</f>
        <v>b</v>
      </c>
      <c r="D36" s="41" t="str">
        <f>INDEX($P$5:$P$360,MATCH(J36,$V$5:$V$360,0))</f>
        <v>c</v>
      </c>
      <c r="E36" s="41" t="str">
        <f>INDEX($Q$5:$Q$360,MATCH(J36,$V$5:$V$360,0))</f>
        <v>d</v>
      </c>
      <c r="F36" s="41" t="str">
        <f>INDEX($R$5:$R$360,MATCH(J36,$V$5:$V$360,0))</f>
        <v>e</v>
      </c>
      <c r="G36" s="42">
        <f>INDEX($S$5:$S$360,MATCH(J36,$V$5:$V$360,0))</f>
        <v>0</v>
      </c>
      <c r="H36" s="42">
        <f>INDEX($T$5:$T$360,MATCH(J36,$V$5:$V$360,0))</f>
        <v>12224.64</v>
      </c>
      <c r="I36" s="42">
        <f>INDEX($U$5:$U$360,MATCH(J36,$V$5:$V$360,0))</f>
        <v>727.25</v>
      </c>
      <c r="J36" s="43">
        <f>SMALL($V$5:$V$360,13)</f>
        <v>-11497.39</v>
      </c>
      <c r="K36" s="44">
        <f>INDEX($W$5:$W$360,MATCH(J36,$V$5:$V$360,0))</f>
        <v>-0.94050949557614782</v>
      </c>
      <c r="M36" s="15" t="s">
        <v>52</v>
      </c>
      <c r="N36" s="14" t="s">
        <v>378</v>
      </c>
      <c r="O36" s="14" t="s">
        <v>379</v>
      </c>
      <c r="P36" s="14" t="s">
        <v>380</v>
      </c>
      <c r="Q36" s="14" t="s">
        <v>381</v>
      </c>
      <c r="R36" s="15" t="s">
        <v>382</v>
      </c>
      <c r="S36" s="34"/>
      <c r="T36" s="34"/>
      <c r="U36" s="35">
        <v>585.75</v>
      </c>
      <c r="V36" s="38">
        <f t="shared" si="0"/>
        <v>585.75</v>
      </c>
      <c r="W36" s="39" t="str">
        <f t="shared" si="1"/>
        <v/>
      </c>
    </row>
    <row r="37" spans="1:23" x14ac:dyDescent="0.2">
      <c r="A37" s="40" t="str">
        <f>INDEX($M$5:$M$360,MATCH(J37,$V$5:$V$360,0))</f>
        <v>2600121501</v>
      </c>
      <c r="B37" s="41" t="str">
        <f>INDEX($N$5:$N$360,MATCH(J37,$V$5:$V$360,0))</f>
        <v>a</v>
      </c>
      <c r="C37" s="41" t="str">
        <f>INDEX($O$5:$O$360,MATCH(J37,$V$5:$V$360,0))</f>
        <v>b</v>
      </c>
      <c r="D37" s="41" t="str">
        <f>INDEX($P$5:$P$360,MATCH(J37,$V$5:$V$360,0))</f>
        <v>c</v>
      </c>
      <c r="E37" s="41" t="str">
        <f>INDEX($Q$5:$Q$360,MATCH(J37,$V$5:$V$360,0))</f>
        <v>d</v>
      </c>
      <c r="F37" s="41" t="str">
        <f>INDEX($R$5:$R$360,MATCH(J37,$V$5:$V$360,0))</f>
        <v>e</v>
      </c>
      <c r="G37" s="42">
        <f>INDEX($S$5:$S$360,MATCH(J37,$V$5:$V$360,0))</f>
        <v>0</v>
      </c>
      <c r="H37" s="42">
        <f>INDEX($T$5:$T$360,MATCH(J37,$V$5:$V$360,0))</f>
        <v>12091.63</v>
      </c>
      <c r="I37" s="42">
        <f>INDEX($U$5:$U$360,MATCH(J37,$V$5:$V$360,0))</f>
        <v>684.81</v>
      </c>
      <c r="J37" s="43">
        <f>SMALL($V$5:$V$360,14)</f>
        <v>-11406.82</v>
      </c>
      <c r="K37" s="44">
        <f>INDEX($W$5:$W$360,MATCH(J37,$V$5:$V$360,0))</f>
        <v>-0.94336495575865298</v>
      </c>
      <c r="M37" s="15" t="s">
        <v>53</v>
      </c>
      <c r="N37" s="14" t="s">
        <v>378</v>
      </c>
      <c r="O37" s="14" t="s">
        <v>379</v>
      </c>
      <c r="P37" s="14" t="s">
        <v>380</v>
      </c>
      <c r="Q37" s="14" t="s">
        <v>381</v>
      </c>
      <c r="R37" s="15" t="s">
        <v>382</v>
      </c>
      <c r="S37" s="34">
        <v>10</v>
      </c>
      <c r="T37" s="34">
        <v>10</v>
      </c>
      <c r="U37" s="35"/>
      <c r="V37" s="38">
        <f t="shared" si="0"/>
        <v>-10</v>
      </c>
      <c r="W37" s="39">
        <f t="shared" si="1"/>
        <v>-1</v>
      </c>
    </row>
    <row r="38" spans="1:23" x14ac:dyDescent="0.2">
      <c r="A38" s="40" t="str">
        <f>INDEX($M$5:$M$360,MATCH(J38,$V$5:$V$360,0))</f>
        <v>2600600877</v>
      </c>
      <c r="B38" s="41" t="str">
        <f>INDEX($N$5:$N$360,MATCH(J38,$V$5:$V$360,0))</f>
        <v>a</v>
      </c>
      <c r="C38" s="41" t="str">
        <f>INDEX($O$5:$O$360,MATCH(J38,$V$5:$V$360,0))</f>
        <v>b</v>
      </c>
      <c r="D38" s="41" t="str">
        <f>INDEX($P$5:$P$360,MATCH(J38,$V$5:$V$360,0))</f>
        <v>c</v>
      </c>
      <c r="E38" s="41" t="str">
        <f>INDEX($Q$5:$Q$360,MATCH(J38,$V$5:$V$360,0))</f>
        <v>d</v>
      </c>
      <c r="F38" s="41" t="str">
        <f>INDEX($R$5:$R$360,MATCH(J38,$V$5:$V$360,0))</f>
        <v>e</v>
      </c>
      <c r="G38" s="42">
        <f>INDEX($S$5:$S$360,MATCH(J38,$V$5:$V$360,0))</f>
        <v>5358.18</v>
      </c>
      <c r="H38" s="42">
        <f>INDEX($T$5:$T$360,MATCH(J38,$V$5:$V$360,0))</f>
        <v>15063.79</v>
      </c>
      <c r="I38" s="42">
        <f>INDEX($U$5:$U$360,MATCH(J38,$V$5:$V$360,0))</f>
        <v>3727.64</v>
      </c>
      <c r="J38" s="43">
        <f>SMALL($V$5:$V$360,15)</f>
        <v>-11336.150000000001</v>
      </c>
      <c r="K38" s="44">
        <f>INDEX($W$5:$W$360,MATCH(J38,$V$5:$V$360,0))</f>
        <v>-0.75254301872238005</v>
      </c>
      <c r="M38" s="15" t="s">
        <v>54</v>
      </c>
      <c r="N38" s="14" t="s">
        <v>378</v>
      </c>
      <c r="O38" s="14" t="s">
        <v>379</v>
      </c>
      <c r="P38" s="14" t="s">
        <v>380</v>
      </c>
      <c r="Q38" s="14" t="s">
        <v>381</v>
      </c>
      <c r="R38" s="15" t="s">
        <v>382</v>
      </c>
      <c r="S38" s="34"/>
      <c r="T38" s="34">
        <v>765.05</v>
      </c>
      <c r="U38" s="35">
        <v>153.09</v>
      </c>
      <c r="V38" s="38">
        <f t="shared" si="0"/>
        <v>-611.95999999999992</v>
      </c>
      <c r="W38" s="39">
        <f t="shared" si="1"/>
        <v>-0.79989543167113253</v>
      </c>
    </row>
    <row r="39" spans="1:23" x14ac:dyDescent="0.2">
      <c r="A39" s="40" t="str">
        <f>INDEX($M$5:$M$360,MATCH(J39,$V$5:$V$360,0))</f>
        <v>2600600525</v>
      </c>
      <c r="B39" s="41" t="str">
        <f>INDEX($N$5:$N$360,MATCH(J39,$V$5:$V$360,0))</f>
        <v>a</v>
      </c>
      <c r="C39" s="41" t="str">
        <f>INDEX($O$5:$O$360,MATCH(J39,$V$5:$V$360,0))</f>
        <v>b</v>
      </c>
      <c r="D39" s="41" t="str">
        <f>INDEX($P$5:$P$360,MATCH(J39,$V$5:$V$360,0))</f>
        <v>c</v>
      </c>
      <c r="E39" s="41" t="str">
        <f>INDEX($Q$5:$Q$360,MATCH(J39,$V$5:$V$360,0))</f>
        <v>d</v>
      </c>
      <c r="F39" s="41" t="str">
        <f>INDEX($R$5:$R$360,MATCH(J39,$V$5:$V$360,0))</f>
        <v>e</v>
      </c>
      <c r="G39" s="42">
        <f>INDEX($S$5:$S$360,MATCH(J39,$V$5:$V$360,0))</f>
        <v>30965.439999999999</v>
      </c>
      <c r="H39" s="42">
        <f>INDEX($T$5:$T$360,MATCH(J39,$V$5:$V$360,0))</f>
        <v>10015.83</v>
      </c>
      <c r="I39" s="42">
        <f>INDEX($U$5:$U$360,MATCH(J39,$V$5:$V$360,0))</f>
        <v>0</v>
      </c>
      <c r="J39" s="43">
        <f>SMALL($V$5:$V$360,16)</f>
        <v>-10015.83</v>
      </c>
      <c r="K39" s="44">
        <f>INDEX($W$5:$W$360,MATCH(J39,$V$5:$V$360,0))</f>
        <v>-1</v>
      </c>
      <c r="M39" s="15" t="s">
        <v>55</v>
      </c>
      <c r="N39" s="14" t="s">
        <v>378</v>
      </c>
      <c r="O39" s="14" t="s">
        <v>379</v>
      </c>
      <c r="P39" s="14" t="s">
        <v>380</v>
      </c>
      <c r="Q39" s="14" t="s">
        <v>381</v>
      </c>
      <c r="R39" s="15" t="s">
        <v>382</v>
      </c>
      <c r="S39" s="34">
        <v>104.07</v>
      </c>
      <c r="T39" s="34">
        <v>208.7</v>
      </c>
      <c r="U39" s="35"/>
      <c r="V39" s="38">
        <f t="shared" si="0"/>
        <v>-208.7</v>
      </c>
      <c r="W39" s="39">
        <f t="shared" si="1"/>
        <v>-1</v>
      </c>
    </row>
    <row r="40" spans="1:23" x14ac:dyDescent="0.2">
      <c r="A40" s="40" t="str">
        <f>INDEX($M$5:$M$360,MATCH(J40,$V$5:$V$360,0))</f>
        <v>2600600170</v>
      </c>
      <c r="B40" s="41" t="str">
        <f>INDEX($N$5:$N$360,MATCH(J40,$V$5:$V$360,0))</f>
        <v>a</v>
      </c>
      <c r="C40" s="41" t="str">
        <f>INDEX($O$5:$O$360,MATCH(J40,$V$5:$V$360,0))</f>
        <v>b</v>
      </c>
      <c r="D40" s="41" t="str">
        <f>INDEX($P$5:$P$360,MATCH(J40,$V$5:$V$360,0))</f>
        <v>c</v>
      </c>
      <c r="E40" s="41" t="str">
        <f>INDEX($Q$5:$Q$360,MATCH(J40,$V$5:$V$360,0))</f>
        <v>d</v>
      </c>
      <c r="F40" s="41" t="str">
        <f>INDEX($R$5:$R$360,MATCH(J40,$V$5:$V$360,0))</f>
        <v>e</v>
      </c>
      <c r="G40" s="42">
        <f>INDEX($S$5:$S$360,MATCH(J40,$V$5:$V$360,0))</f>
        <v>13045.49</v>
      </c>
      <c r="H40" s="42">
        <f>INDEX($T$5:$T$360,MATCH(J40,$V$5:$V$360,0))</f>
        <v>13231.94</v>
      </c>
      <c r="I40" s="42">
        <f>INDEX($U$5:$U$360,MATCH(J40,$V$5:$V$360,0))</f>
        <v>4816.6000000000004</v>
      </c>
      <c r="J40" s="43">
        <f>SMALL($V$5:$V$360,17)</f>
        <v>-8415.34</v>
      </c>
      <c r="K40" s="44">
        <f>INDEX($W$5:$W$360,MATCH(J40,$V$5:$V$360,0))</f>
        <v>-0.63598686209278454</v>
      </c>
      <c r="M40" s="15" t="s">
        <v>56</v>
      </c>
      <c r="N40" s="14" t="s">
        <v>378</v>
      </c>
      <c r="O40" s="14" t="s">
        <v>379</v>
      </c>
      <c r="P40" s="14" t="s">
        <v>380</v>
      </c>
      <c r="Q40" s="14" t="s">
        <v>381</v>
      </c>
      <c r="R40" s="15" t="s">
        <v>382</v>
      </c>
      <c r="S40" s="34"/>
      <c r="T40" s="34">
        <v>32348.9</v>
      </c>
      <c r="U40" s="35">
        <v>746.07</v>
      </c>
      <c r="V40" s="38">
        <f t="shared" si="0"/>
        <v>-31602.83</v>
      </c>
      <c r="W40" s="39">
        <f t="shared" si="1"/>
        <v>-0.97693677373882881</v>
      </c>
    </row>
    <row r="41" spans="1:23" x14ac:dyDescent="0.2">
      <c r="A41" s="40" t="str">
        <f>INDEX($M$5:$M$360,MATCH(J41,$V$5:$V$360,0))</f>
        <v>2600120394</v>
      </c>
      <c r="B41" s="41" t="str">
        <f>INDEX($N$5:$N$360,MATCH(J41,$V$5:$V$360,0))</f>
        <v>a</v>
      </c>
      <c r="C41" s="41" t="str">
        <f>INDEX($O$5:$O$360,MATCH(J41,$V$5:$V$360,0))</f>
        <v>b</v>
      </c>
      <c r="D41" s="41" t="str">
        <f>INDEX($P$5:$P$360,MATCH(J41,$V$5:$V$360,0))</f>
        <v>c</v>
      </c>
      <c r="E41" s="41" t="str">
        <f>INDEX($Q$5:$Q$360,MATCH(J41,$V$5:$V$360,0))</f>
        <v>d</v>
      </c>
      <c r="F41" s="41" t="str">
        <f>INDEX($R$5:$R$360,MATCH(J41,$V$5:$V$360,0))</f>
        <v>e</v>
      </c>
      <c r="G41" s="42">
        <f>INDEX($S$5:$S$360,MATCH(J41,$V$5:$V$360,0))</f>
        <v>0</v>
      </c>
      <c r="H41" s="42">
        <f>INDEX($T$5:$T$360,MATCH(J41,$V$5:$V$360,0))</f>
        <v>24907.79</v>
      </c>
      <c r="I41" s="42">
        <f>INDEX($U$5:$U$360,MATCH(J41,$V$5:$V$360,0))</f>
        <v>17025.759999999998</v>
      </c>
      <c r="J41" s="43">
        <f>SMALL($V$5:$V$360,18)</f>
        <v>-7882.0300000000025</v>
      </c>
      <c r="K41" s="44">
        <f>INDEX($W$5:$W$360,MATCH(J41,$V$5:$V$360,0))</f>
        <v>-0.31644838823516669</v>
      </c>
      <c r="M41" s="15" t="s">
        <v>57</v>
      </c>
      <c r="N41" s="14" t="s">
        <v>378</v>
      </c>
      <c r="O41" s="14" t="s">
        <v>379</v>
      </c>
      <c r="P41" s="14" t="s">
        <v>380</v>
      </c>
      <c r="Q41" s="14" t="s">
        <v>381</v>
      </c>
      <c r="R41" s="15" t="s">
        <v>382</v>
      </c>
      <c r="S41" s="34">
        <v>57.68</v>
      </c>
      <c r="T41" s="34">
        <v>57.49</v>
      </c>
      <c r="U41" s="35"/>
      <c r="V41" s="38">
        <f t="shared" si="0"/>
        <v>-57.49</v>
      </c>
      <c r="W41" s="39">
        <f t="shared" si="1"/>
        <v>-1</v>
      </c>
    </row>
    <row r="42" spans="1:23" x14ac:dyDescent="0.2">
      <c r="A42" s="40" t="str">
        <f>INDEX($M$5:$M$360,MATCH(J42,$V$5:$V$360,0))</f>
        <v>2600116554</v>
      </c>
      <c r="B42" s="41" t="str">
        <f>INDEX($N$5:$N$360,MATCH(J42,$V$5:$V$360,0))</f>
        <v>a</v>
      </c>
      <c r="C42" s="41" t="str">
        <f>INDEX($O$5:$O$360,MATCH(J42,$V$5:$V$360,0))</f>
        <v>b</v>
      </c>
      <c r="D42" s="41" t="str">
        <f>INDEX($P$5:$P$360,MATCH(J42,$V$5:$V$360,0))</f>
        <v>c</v>
      </c>
      <c r="E42" s="41" t="str">
        <f>INDEX($Q$5:$Q$360,MATCH(J42,$V$5:$V$360,0))</f>
        <v>d</v>
      </c>
      <c r="F42" s="41" t="str">
        <f>INDEX($R$5:$R$360,MATCH(J42,$V$5:$V$360,0))</f>
        <v>e</v>
      </c>
      <c r="G42" s="42">
        <f>INDEX($S$5:$S$360,MATCH(J42,$V$5:$V$360,0))</f>
        <v>0</v>
      </c>
      <c r="H42" s="42">
        <f>INDEX($T$5:$T$360,MATCH(J42,$V$5:$V$360,0))</f>
        <v>7079.43</v>
      </c>
      <c r="I42" s="42">
        <f>INDEX($U$5:$U$360,MATCH(J42,$V$5:$V$360,0))</f>
        <v>0</v>
      </c>
      <c r="J42" s="43">
        <f>SMALL($V$5:$V$360,19)</f>
        <v>-7079.43</v>
      </c>
      <c r="K42" s="44">
        <f>INDEX($W$5:$W$360,MATCH(J42,$V$5:$V$360,0))</f>
        <v>-1</v>
      </c>
      <c r="M42" s="15" t="s">
        <v>58</v>
      </c>
      <c r="N42" s="14" t="s">
        <v>378</v>
      </c>
      <c r="O42" s="14" t="s">
        <v>379</v>
      </c>
      <c r="P42" s="14" t="s">
        <v>380</v>
      </c>
      <c r="Q42" s="14" t="s">
        <v>381</v>
      </c>
      <c r="R42" s="15" t="s">
        <v>382</v>
      </c>
      <c r="S42" s="34">
        <v>483.62</v>
      </c>
      <c r="T42" s="34">
        <v>654.19000000000005</v>
      </c>
      <c r="U42" s="35"/>
      <c r="V42" s="38">
        <f t="shared" si="0"/>
        <v>-654.19000000000005</v>
      </c>
      <c r="W42" s="39">
        <f t="shared" si="1"/>
        <v>-1</v>
      </c>
    </row>
    <row r="43" spans="1:23" x14ac:dyDescent="0.2">
      <c r="A43" s="40" t="str">
        <f>INDEX($M$5:$M$360,MATCH(J43,$V$5:$V$360,0))</f>
        <v>2600601087</v>
      </c>
      <c r="B43" s="41" t="str">
        <f>INDEX($N$5:$N$360,MATCH(J43,$V$5:$V$360,0))</f>
        <v>a</v>
      </c>
      <c r="C43" s="41" t="str">
        <f>INDEX($O$5:$O$360,MATCH(J43,$V$5:$V$360,0))</f>
        <v>b</v>
      </c>
      <c r="D43" s="41" t="str">
        <f>INDEX($P$5:$P$360,MATCH(J43,$V$5:$V$360,0))</f>
        <v>c</v>
      </c>
      <c r="E43" s="41" t="str">
        <f>INDEX($Q$5:$Q$360,MATCH(J43,$V$5:$V$360,0))</f>
        <v>d</v>
      </c>
      <c r="F43" s="41" t="str">
        <f>INDEX($R$5:$R$360,MATCH(J43,$V$5:$V$360,0))</f>
        <v>e</v>
      </c>
      <c r="G43" s="42">
        <f>INDEX($S$5:$S$360,MATCH(J43,$V$5:$V$360,0))</f>
        <v>11467.96</v>
      </c>
      <c r="H43" s="42">
        <f>INDEX($T$5:$T$360,MATCH(J43,$V$5:$V$360,0))</f>
        <v>8813.02</v>
      </c>
      <c r="I43" s="42">
        <f>INDEX($U$5:$U$360,MATCH(J43,$V$5:$V$360,0))</f>
        <v>4437.6499999999996</v>
      </c>
      <c r="J43" s="43">
        <f>SMALL($V$5:$V$360,20)</f>
        <v>-4375.3700000000008</v>
      </c>
      <c r="K43" s="44">
        <f>INDEX($W$5:$W$360,MATCH(J43,$V$5:$V$360,0))</f>
        <v>-0.49646659147488609</v>
      </c>
      <c r="M43" s="15" t="s">
        <v>59</v>
      </c>
      <c r="N43" s="14" t="s">
        <v>378</v>
      </c>
      <c r="O43" s="14" t="s">
        <v>379</v>
      </c>
      <c r="P43" s="14" t="s">
        <v>380</v>
      </c>
      <c r="Q43" s="14" t="s">
        <v>381</v>
      </c>
      <c r="R43" s="15" t="s">
        <v>382</v>
      </c>
      <c r="S43" s="34">
        <v>850.44</v>
      </c>
      <c r="T43" s="34">
        <v>1034.01</v>
      </c>
      <c r="U43" s="35">
        <v>1768.38</v>
      </c>
      <c r="V43" s="38">
        <f t="shared" si="0"/>
        <v>734.37000000000012</v>
      </c>
      <c r="W43" s="39">
        <f t="shared" si="1"/>
        <v>0.71021556851481138</v>
      </c>
    </row>
    <row r="44" spans="1:23" x14ac:dyDescent="0.2">
      <c r="M44" s="15" t="s">
        <v>60</v>
      </c>
      <c r="N44" s="14" t="s">
        <v>378</v>
      </c>
      <c r="O44" s="14" t="s">
        <v>379</v>
      </c>
      <c r="P44" s="14" t="s">
        <v>380</v>
      </c>
      <c r="Q44" s="14" t="s">
        <v>381</v>
      </c>
      <c r="R44" s="15" t="s">
        <v>382</v>
      </c>
      <c r="S44" s="34">
        <v>441.16</v>
      </c>
      <c r="T44" s="34"/>
      <c r="U44" s="35">
        <v>325.88</v>
      </c>
      <c r="V44" s="38">
        <f t="shared" si="0"/>
        <v>325.88</v>
      </c>
      <c r="W44" s="39" t="str">
        <f t="shared" si="1"/>
        <v/>
      </c>
    </row>
    <row r="45" spans="1:23" x14ac:dyDescent="0.2">
      <c r="M45" s="15" t="s">
        <v>61</v>
      </c>
      <c r="N45" s="14" t="s">
        <v>378</v>
      </c>
      <c r="O45" s="14" t="s">
        <v>379</v>
      </c>
      <c r="P45" s="14" t="s">
        <v>380</v>
      </c>
      <c r="Q45" s="14" t="s">
        <v>381</v>
      </c>
      <c r="R45" s="15" t="s">
        <v>382</v>
      </c>
      <c r="S45" s="34">
        <v>103.33</v>
      </c>
      <c r="T45" s="34"/>
      <c r="U45" s="35"/>
      <c r="V45" s="38">
        <f t="shared" si="0"/>
        <v>0</v>
      </c>
      <c r="W45" s="39" t="str">
        <f t="shared" si="1"/>
        <v/>
      </c>
    </row>
    <row r="46" spans="1:23" x14ac:dyDescent="0.2">
      <c r="M46" s="15" t="s">
        <v>62</v>
      </c>
      <c r="N46" s="14" t="s">
        <v>378</v>
      </c>
      <c r="O46" s="14" t="s">
        <v>379</v>
      </c>
      <c r="P46" s="14" t="s">
        <v>380</v>
      </c>
      <c r="Q46" s="14" t="s">
        <v>381</v>
      </c>
      <c r="R46" s="15" t="s">
        <v>382</v>
      </c>
      <c r="S46" s="34">
        <v>244.8</v>
      </c>
      <c r="T46" s="34"/>
      <c r="U46" s="35"/>
      <c r="V46" s="38">
        <f t="shared" si="0"/>
        <v>0</v>
      </c>
      <c r="W46" s="39" t="str">
        <f t="shared" si="1"/>
        <v/>
      </c>
    </row>
    <row r="47" spans="1:23" x14ac:dyDescent="0.2">
      <c r="M47" s="15" t="s">
        <v>63</v>
      </c>
      <c r="N47" s="14" t="s">
        <v>378</v>
      </c>
      <c r="O47" s="14" t="s">
        <v>379</v>
      </c>
      <c r="P47" s="14" t="s">
        <v>380</v>
      </c>
      <c r="Q47" s="14" t="s">
        <v>381</v>
      </c>
      <c r="R47" s="15" t="s">
        <v>382</v>
      </c>
      <c r="S47" s="34">
        <v>10</v>
      </c>
      <c r="T47" s="34">
        <v>10</v>
      </c>
      <c r="U47" s="35">
        <v>10</v>
      </c>
      <c r="V47" s="38">
        <f t="shared" si="0"/>
        <v>0</v>
      </c>
      <c r="W47" s="39">
        <f t="shared" si="1"/>
        <v>0</v>
      </c>
    </row>
    <row r="48" spans="1:23" x14ac:dyDescent="0.2">
      <c r="M48" s="15" t="s">
        <v>64</v>
      </c>
      <c r="N48" s="14" t="s">
        <v>378</v>
      </c>
      <c r="O48" s="14" t="s">
        <v>379</v>
      </c>
      <c r="P48" s="14" t="s">
        <v>380</v>
      </c>
      <c r="Q48" s="14" t="s">
        <v>381</v>
      </c>
      <c r="R48" s="15" t="s">
        <v>382</v>
      </c>
      <c r="S48" s="34">
        <v>1051.69</v>
      </c>
      <c r="T48" s="34">
        <v>2638.61</v>
      </c>
      <c r="U48" s="35">
        <v>1162.3699999999999</v>
      </c>
      <c r="V48" s="38">
        <f t="shared" si="0"/>
        <v>-1476.2400000000002</v>
      </c>
      <c r="W48" s="39">
        <f t="shared" si="1"/>
        <v>-0.55947639097858348</v>
      </c>
    </row>
    <row r="49" spans="13:23" x14ac:dyDescent="0.2">
      <c r="M49" s="15" t="s">
        <v>65</v>
      </c>
      <c r="N49" s="14" t="s">
        <v>378</v>
      </c>
      <c r="O49" s="14" t="s">
        <v>379</v>
      </c>
      <c r="P49" s="14" t="s">
        <v>380</v>
      </c>
      <c r="Q49" s="14" t="s">
        <v>381</v>
      </c>
      <c r="R49" s="15" t="s">
        <v>382</v>
      </c>
      <c r="S49" s="34"/>
      <c r="T49" s="34">
        <v>39.5</v>
      </c>
      <c r="U49" s="35">
        <v>66.62</v>
      </c>
      <c r="V49" s="38">
        <f t="shared" si="0"/>
        <v>27.120000000000005</v>
      </c>
      <c r="W49" s="39">
        <f t="shared" si="1"/>
        <v>0.68658227848101272</v>
      </c>
    </row>
    <row r="50" spans="13:23" x14ac:dyDescent="0.2">
      <c r="M50" s="15" t="s">
        <v>66</v>
      </c>
      <c r="N50" s="14" t="s">
        <v>378</v>
      </c>
      <c r="O50" s="14" t="s">
        <v>379</v>
      </c>
      <c r="P50" s="14" t="s">
        <v>380</v>
      </c>
      <c r="Q50" s="14" t="s">
        <v>381</v>
      </c>
      <c r="R50" s="15" t="s">
        <v>382</v>
      </c>
      <c r="S50" s="34"/>
      <c r="T50" s="34">
        <v>7079.43</v>
      </c>
      <c r="U50" s="35"/>
      <c r="V50" s="38">
        <f t="shared" si="0"/>
        <v>-7079.43</v>
      </c>
      <c r="W50" s="39">
        <f t="shared" si="1"/>
        <v>-1</v>
      </c>
    </row>
    <row r="51" spans="13:23" x14ac:dyDescent="0.2">
      <c r="M51" s="15" t="s">
        <v>67</v>
      </c>
      <c r="N51" s="14" t="s">
        <v>378</v>
      </c>
      <c r="O51" s="14" t="s">
        <v>379</v>
      </c>
      <c r="P51" s="14" t="s">
        <v>380</v>
      </c>
      <c r="Q51" s="14" t="s">
        <v>381</v>
      </c>
      <c r="R51" s="15" t="s">
        <v>382</v>
      </c>
      <c r="S51" s="34">
        <v>1029.4100000000001</v>
      </c>
      <c r="T51" s="34">
        <v>246.61</v>
      </c>
      <c r="U51" s="35">
        <v>323.12</v>
      </c>
      <c r="V51" s="38">
        <f t="shared" si="0"/>
        <v>76.509999999999991</v>
      </c>
      <c r="W51" s="39">
        <f t="shared" si="1"/>
        <v>0.31024694862333235</v>
      </c>
    </row>
    <row r="52" spans="13:23" x14ac:dyDescent="0.2">
      <c r="M52" s="15" t="s">
        <v>68</v>
      </c>
      <c r="N52" s="14" t="s">
        <v>378</v>
      </c>
      <c r="O52" s="14" t="s">
        <v>379</v>
      </c>
      <c r="P52" s="14" t="s">
        <v>380</v>
      </c>
      <c r="Q52" s="14" t="s">
        <v>381</v>
      </c>
      <c r="R52" s="15" t="s">
        <v>382</v>
      </c>
      <c r="S52" s="34"/>
      <c r="T52" s="34"/>
      <c r="U52" s="35">
        <v>650.41</v>
      </c>
      <c r="V52" s="38">
        <f t="shared" si="0"/>
        <v>650.41</v>
      </c>
      <c r="W52" s="39" t="str">
        <f t="shared" si="1"/>
        <v/>
      </c>
    </row>
    <row r="53" spans="13:23" x14ac:dyDescent="0.2">
      <c r="M53" s="15" t="s">
        <v>69</v>
      </c>
      <c r="N53" s="14" t="s">
        <v>378</v>
      </c>
      <c r="O53" s="14" t="s">
        <v>379</v>
      </c>
      <c r="P53" s="14" t="s">
        <v>380</v>
      </c>
      <c r="Q53" s="14" t="s">
        <v>381</v>
      </c>
      <c r="R53" s="15" t="s">
        <v>382</v>
      </c>
      <c r="S53" s="34"/>
      <c r="T53" s="34">
        <v>182.27</v>
      </c>
      <c r="U53" s="35">
        <v>265.27999999999997</v>
      </c>
      <c r="V53" s="38">
        <f t="shared" si="0"/>
        <v>83.009999999999962</v>
      </c>
      <c r="W53" s="39">
        <f t="shared" si="1"/>
        <v>0.45542327316618181</v>
      </c>
    </row>
    <row r="54" spans="13:23" x14ac:dyDescent="0.2">
      <c r="M54" s="15" t="s">
        <v>70</v>
      </c>
      <c r="N54" s="14" t="s">
        <v>378</v>
      </c>
      <c r="O54" s="14" t="s">
        <v>379</v>
      </c>
      <c r="P54" s="14" t="s">
        <v>380</v>
      </c>
      <c r="Q54" s="14" t="s">
        <v>381</v>
      </c>
      <c r="R54" s="15" t="s">
        <v>382</v>
      </c>
      <c r="S54" s="34"/>
      <c r="T54" s="34"/>
      <c r="U54" s="35">
        <v>49.63</v>
      </c>
      <c r="V54" s="38">
        <f t="shared" si="0"/>
        <v>49.63</v>
      </c>
      <c r="W54" s="39" t="str">
        <f t="shared" si="1"/>
        <v/>
      </c>
    </row>
    <row r="55" spans="13:23" x14ac:dyDescent="0.2">
      <c r="M55" s="15" t="s">
        <v>71</v>
      </c>
      <c r="N55" s="14" t="s">
        <v>378</v>
      </c>
      <c r="O55" s="14" t="s">
        <v>379</v>
      </c>
      <c r="P55" s="14" t="s">
        <v>380</v>
      </c>
      <c r="Q55" s="14" t="s">
        <v>381</v>
      </c>
      <c r="R55" s="15" t="s">
        <v>382</v>
      </c>
      <c r="S55" s="34">
        <v>20</v>
      </c>
      <c r="T55" s="34">
        <v>1096</v>
      </c>
      <c r="U55" s="35">
        <v>1109.29</v>
      </c>
      <c r="V55" s="38">
        <f t="shared" si="0"/>
        <v>13.289999999999964</v>
      </c>
      <c r="W55" s="39">
        <f t="shared" si="1"/>
        <v>1.2125912408759092E-2</v>
      </c>
    </row>
    <row r="56" spans="13:23" x14ac:dyDescent="0.2">
      <c r="M56" s="15" t="s">
        <v>72</v>
      </c>
      <c r="N56" s="14" t="s">
        <v>378</v>
      </c>
      <c r="O56" s="14" t="s">
        <v>379</v>
      </c>
      <c r="P56" s="14" t="s">
        <v>380</v>
      </c>
      <c r="Q56" s="14" t="s">
        <v>381</v>
      </c>
      <c r="R56" s="15" t="s">
        <v>382</v>
      </c>
      <c r="S56" s="34">
        <v>156.75</v>
      </c>
      <c r="T56" s="34"/>
      <c r="U56" s="35"/>
      <c r="V56" s="38">
        <f t="shared" si="0"/>
        <v>0</v>
      </c>
      <c r="W56" s="39" t="str">
        <f t="shared" si="1"/>
        <v/>
      </c>
    </row>
    <row r="57" spans="13:23" x14ac:dyDescent="0.2">
      <c r="M57" s="15" t="s">
        <v>73</v>
      </c>
      <c r="N57" s="14" t="s">
        <v>378</v>
      </c>
      <c r="O57" s="14" t="s">
        <v>379</v>
      </c>
      <c r="P57" s="14" t="s">
        <v>380</v>
      </c>
      <c r="Q57" s="14" t="s">
        <v>381</v>
      </c>
      <c r="R57" s="15" t="s">
        <v>382</v>
      </c>
      <c r="S57" s="34">
        <v>359.91</v>
      </c>
      <c r="T57" s="34">
        <v>162.26</v>
      </c>
      <c r="U57" s="35">
        <v>89.88</v>
      </c>
      <c r="V57" s="38">
        <f t="shared" si="0"/>
        <v>-72.38</v>
      </c>
      <c r="W57" s="39">
        <f t="shared" si="1"/>
        <v>-0.44607420189818808</v>
      </c>
    </row>
    <row r="58" spans="13:23" x14ac:dyDescent="0.2">
      <c r="M58" s="15" t="s">
        <v>74</v>
      </c>
      <c r="N58" s="14" t="s">
        <v>378</v>
      </c>
      <c r="O58" s="14" t="s">
        <v>379</v>
      </c>
      <c r="P58" s="14" t="s">
        <v>380</v>
      </c>
      <c r="Q58" s="14" t="s">
        <v>381</v>
      </c>
      <c r="R58" s="15" t="s">
        <v>382</v>
      </c>
      <c r="S58" s="34">
        <v>10</v>
      </c>
      <c r="T58" s="34"/>
      <c r="U58" s="35"/>
      <c r="V58" s="38">
        <f t="shared" si="0"/>
        <v>0</v>
      </c>
      <c r="W58" s="39" t="str">
        <f t="shared" si="1"/>
        <v/>
      </c>
    </row>
    <row r="59" spans="13:23" x14ac:dyDescent="0.2">
      <c r="M59" s="15" t="s">
        <v>75</v>
      </c>
      <c r="N59" s="14" t="s">
        <v>378</v>
      </c>
      <c r="O59" s="14" t="s">
        <v>379</v>
      </c>
      <c r="P59" s="14" t="s">
        <v>380</v>
      </c>
      <c r="Q59" s="14" t="s">
        <v>381</v>
      </c>
      <c r="R59" s="15" t="s">
        <v>382</v>
      </c>
      <c r="S59" s="34">
        <v>808</v>
      </c>
      <c r="T59" s="34">
        <v>7762.74</v>
      </c>
      <c r="U59" s="35">
        <v>4986.17</v>
      </c>
      <c r="V59" s="38">
        <f t="shared" si="0"/>
        <v>-2776.5699999999997</v>
      </c>
      <c r="W59" s="39">
        <f t="shared" si="1"/>
        <v>-0.35767911845559686</v>
      </c>
    </row>
    <row r="60" spans="13:23" x14ac:dyDescent="0.2">
      <c r="M60" s="15" t="s">
        <v>76</v>
      </c>
      <c r="N60" s="14" t="s">
        <v>378</v>
      </c>
      <c r="O60" s="14" t="s">
        <v>379</v>
      </c>
      <c r="P60" s="14" t="s">
        <v>380</v>
      </c>
      <c r="Q60" s="14" t="s">
        <v>381</v>
      </c>
      <c r="R60" s="15" t="s">
        <v>382</v>
      </c>
      <c r="S60" s="34">
        <v>8778.1200000000008</v>
      </c>
      <c r="T60" s="34">
        <v>10</v>
      </c>
      <c r="U60" s="35">
        <v>3969.44</v>
      </c>
      <c r="V60" s="38">
        <f t="shared" si="0"/>
        <v>3959.44</v>
      </c>
      <c r="W60" s="39" t="str">
        <f t="shared" si="1"/>
        <v>&gt;100%</v>
      </c>
    </row>
    <row r="61" spans="13:23" x14ac:dyDescent="0.2">
      <c r="M61" s="15" t="s">
        <v>77</v>
      </c>
      <c r="N61" s="14" t="s">
        <v>378</v>
      </c>
      <c r="O61" s="14" t="s">
        <v>379</v>
      </c>
      <c r="P61" s="14" t="s">
        <v>380</v>
      </c>
      <c r="Q61" s="14" t="s">
        <v>381</v>
      </c>
      <c r="R61" s="15" t="s">
        <v>382</v>
      </c>
      <c r="S61" s="34">
        <v>50.66</v>
      </c>
      <c r="T61" s="34"/>
      <c r="U61" s="35"/>
      <c r="V61" s="38">
        <f t="shared" si="0"/>
        <v>0</v>
      </c>
      <c r="W61" s="39" t="str">
        <f t="shared" si="1"/>
        <v/>
      </c>
    </row>
    <row r="62" spans="13:23" x14ac:dyDescent="0.2">
      <c r="M62" s="15" t="s">
        <v>78</v>
      </c>
      <c r="N62" s="14" t="s">
        <v>378</v>
      </c>
      <c r="O62" s="14" t="s">
        <v>379</v>
      </c>
      <c r="P62" s="14" t="s">
        <v>380</v>
      </c>
      <c r="Q62" s="14" t="s">
        <v>381</v>
      </c>
      <c r="R62" s="15" t="s">
        <v>382</v>
      </c>
      <c r="S62" s="34"/>
      <c r="T62" s="34">
        <v>3867.65</v>
      </c>
      <c r="U62" s="35"/>
      <c r="V62" s="38">
        <f t="shared" si="0"/>
        <v>-3867.65</v>
      </c>
      <c r="W62" s="39">
        <f t="shared" si="1"/>
        <v>-1</v>
      </c>
    </row>
    <row r="63" spans="13:23" x14ac:dyDescent="0.2">
      <c r="M63" s="15" t="s">
        <v>79</v>
      </c>
      <c r="N63" s="14" t="s">
        <v>378</v>
      </c>
      <c r="O63" s="14" t="s">
        <v>379</v>
      </c>
      <c r="P63" s="14" t="s">
        <v>380</v>
      </c>
      <c r="Q63" s="14" t="s">
        <v>381</v>
      </c>
      <c r="R63" s="15" t="s">
        <v>382</v>
      </c>
      <c r="S63" s="34">
        <v>80</v>
      </c>
      <c r="T63" s="34">
        <v>30</v>
      </c>
      <c r="U63" s="35"/>
      <c r="V63" s="38">
        <f t="shared" si="0"/>
        <v>-30</v>
      </c>
      <c r="W63" s="39">
        <f t="shared" si="1"/>
        <v>-1</v>
      </c>
    </row>
    <row r="64" spans="13:23" x14ac:dyDescent="0.2">
      <c r="M64" s="15" t="s">
        <v>80</v>
      </c>
      <c r="N64" s="14" t="s">
        <v>378</v>
      </c>
      <c r="O64" s="14" t="s">
        <v>379</v>
      </c>
      <c r="P64" s="14" t="s">
        <v>380</v>
      </c>
      <c r="Q64" s="14" t="s">
        <v>381</v>
      </c>
      <c r="R64" s="15" t="s">
        <v>382</v>
      </c>
      <c r="S64" s="34">
        <v>6737.46</v>
      </c>
      <c r="T64" s="34"/>
      <c r="U64" s="35"/>
      <c r="V64" s="38">
        <f t="shared" si="0"/>
        <v>0</v>
      </c>
      <c r="W64" s="39" t="str">
        <f t="shared" si="1"/>
        <v/>
      </c>
    </row>
    <row r="65" spans="13:23" x14ac:dyDescent="0.2">
      <c r="M65" s="15" t="s">
        <v>81</v>
      </c>
      <c r="N65" s="14" t="s">
        <v>378</v>
      </c>
      <c r="O65" s="14" t="s">
        <v>379</v>
      </c>
      <c r="P65" s="14" t="s">
        <v>380</v>
      </c>
      <c r="Q65" s="14" t="s">
        <v>381</v>
      </c>
      <c r="R65" s="15" t="s">
        <v>382</v>
      </c>
      <c r="S65" s="34">
        <v>336.06</v>
      </c>
      <c r="T65" s="34">
        <v>63.4</v>
      </c>
      <c r="U65" s="35">
        <v>41.06</v>
      </c>
      <c r="V65" s="38">
        <f t="shared" si="0"/>
        <v>-22.339999999999996</v>
      </c>
      <c r="W65" s="39">
        <f t="shared" si="1"/>
        <v>-0.35236593059936905</v>
      </c>
    </row>
    <row r="66" spans="13:23" x14ac:dyDescent="0.2">
      <c r="M66" s="15" t="s">
        <v>82</v>
      </c>
      <c r="N66" s="14" t="s">
        <v>378</v>
      </c>
      <c r="O66" s="14" t="s">
        <v>379</v>
      </c>
      <c r="P66" s="14" t="s">
        <v>380</v>
      </c>
      <c r="Q66" s="14" t="s">
        <v>381</v>
      </c>
      <c r="R66" s="15" t="s">
        <v>382</v>
      </c>
      <c r="S66" s="34">
        <v>245.52</v>
      </c>
      <c r="T66" s="34"/>
      <c r="U66" s="35"/>
      <c r="V66" s="38">
        <f t="shared" si="0"/>
        <v>0</v>
      </c>
      <c r="W66" s="39" t="str">
        <f t="shared" si="1"/>
        <v/>
      </c>
    </row>
    <row r="67" spans="13:23" x14ac:dyDescent="0.2">
      <c r="M67" s="15" t="s">
        <v>83</v>
      </c>
      <c r="N67" s="14" t="s">
        <v>378</v>
      </c>
      <c r="O67" s="14" t="s">
        <v>379</v>
      </c>
      <c r="P67" s="14" t="s">
        <v>380</v>
      </c>
      <c r="Q67" s="14" t="s">
        <v>381</v>
      </c>
      <c r="R67" s="15" t="s">
        <v>382</v>
      </c>
      <c r="S67" s="34">
        <v>498.5</v>
      </c>
      <c r="T67" s="34">
        <v>526.1</v>
      </c>
      <c r="U67" s="35"/>
      <c r="V67" s="38">
        <f t="shared" si="0"/>
        <v>-526.1</v>
      </c>
      <c r="W67" s="39">
        <f t="shared" si="1"/>
        <v>-1</v>
      </c>
    </row>
    <row r="68" spans="13:23" x14ac:dyDescent="0.2">
      <c r="M68" s="15" t="s">
        <v>84</v>
      </c>
      <c r="N68" s="14" t="s">
        <v>378</v>
      </c>
      <c r="O68" s="14" t="s">
        <v>379</v>
      </c>
      <c r="P68" s="14" t="s">
        <v>380</v>
      </c>
      <c r="Q68" s="14" t="s">
        <v>381</v>
      </c>
      <c r="R68" s="15" t="s">
        <v>382</v>
      </c>
      <c r="S68" s="34">
        <v>94.01</v>
      </c>
      <c r="T68" s="34"/>
      <c r="U68" s="35"/>
      <c r="V68" s="38">
        <f t="shared" si="0"/>
        <v>0</v>
      </c>
      <c r="W68" s="39" t="str">
        <f t="shared" si="1"/>
        <v/>
      </c>
    </row>
    <row r="69" spans="13:23" x14ac:dyDescent="0.2">
      <c r="M69" s="15" t="s">
        <v>85</v>
      </c>
      <c r="N69" s="14" t="s">
        <v>378</v>
      </c>
      <c r="O69" s="14" t="s">
        <v>379</v>
      </c>
      <c r="P69" s="14" t="s">
        <v>380</v>
      </c>
      <c r="Q69" s="14" t="s">
        <v>381</v>
      </c>
      <c r="R69" s="15" t="s">
        <v>382</v>
      </c>
      <c r="S69" s="34">
        <v>358.32</v>
      </c>
      <c r="T69" s="34"/>
      <c r="U69" s="35"/>
      <c r="V69" s="38">
        <f t="shared" ref="V69:V132" si="2">+U69-T69</f>
        <v>0</v>
      </c>
      <c r="W69" s="39" t="str">
        <f t="shared" ref="W69:W132" si="3">IF(T69="","",IF(T69=0,"",IF(T69&lt;0,"",IF((V69/T69)&gt;1,"&gt;100%",IFERROR(V69/T69,"")))))</f>
        <v/>
      </c>
    </row>
    <row r="70" spans="13:23" x14ac:dyDescent="0.2">
      <c r="M70" s="15" t="s">
        <v>86</v>
      </c>
      <c r="N70" s="14" t="s">
        <v>378</v>
      </c>
      <c r="O70" s="14" t="s">
        <v>379</v>
      </c>
      <c r="P70" s="14" t="s">
        <v>380</v>
      </c>
      <c r="Q70" s="14" t="s">
        <v>381</v>
      </c>
      <c r="R70" s="15" t="s">
        <v>382</v>
      </c>
      <c r="S70" s="34">
        <v>132.78</v>
      </c>
      <c r="T70" s="34"/>
      <c r="U70" s="35"/>
      <c r="V70" s="38">
        <f t="shared" si="2"/>
        <v>0</v>
      </c>
      <c r="W70" s="39" t="str">
        <f t="shared" si="3"/>
        <v/>
      </c>
    </row>
    <row r="71" spans="13:23" x14ac:dyDescent="0.2">
      <c r="M71" s="15" t="s">
        <v>87</v>
      </c>
      <c r="N71" s="14" t="s">
        <v>378</v>
      </c>
      <c r="O71" s="14" t="s">
        <v>379</v>
      </c>
      <c r="P71" s="14" t="s">
        <v>380</v>
      </c>
      <c r="Q71" s="14" t="s">
        <v>381</v>
      </c>
      <c r="R71" s="15" t="s">
        <v>382</v>
      </c>
      <c r="S71" s="34">
        <v>252.86</v>
      </c>
      <c r="T71" s="34">
        <v>214.33</v>
      </c>
      <c r="U71" s="35"/>
      <c r="V71" s="38">
        <f t="shared" si="2"/>
        <v>-214.33</v>
      </c>
      <c r="W71" s="39">
        <f t="shared" si="3"/>
        <v>-1</v>
      </c>
    </row>
    <row r="72" spans="13:23" x14ac:dyDescent="0.2">
      <c r="M72" s="15" t="s">
        <v>88</v>
      </c>
      <c r="N72" s="14" t="s">
        <v>378</v>
      </c>
      <c r="O72" s="14" t="s">
        <v>379</v>
      </c>
      <c r="P72" s="14" t="s">
        <v>380</v>
      </c>
      <c r="Q72" s="14" t="s">
        <v>381</v>
      </c>
      <c r="R72" s="15" t="s">
        <v>382</v>
      </c>
      <c r="S72" s="34">
        <v>83.18</v>
      </c>
      <c r="T72" s="34"/>
      <c r="U72" s="35"/>
      <c r="V72" s="38">
        <f t="shared" si="2"/>
        <v>0</v>
      </c>
      <c r="W72" s="39" t="str">
        <f t="shared" si="3"/>
        <v/>
      </c>
    </row>
    <row r="73" spans="13:23" x14ac:dyDescent="0.2">
      <c r="M73" s="15" t="s">
        <v>89</v>
      </c>
      <c r="N73" s="14" t="s">
        <v>378</v>
      </c>
      <c r="O73" s="14" t="s">
        <v>379</v>
      </c>
      <c r="P73" s="14" t="s">
        <v>380</v>
      </c>
      <c r="Q73" s="14" t="s">
        <v>381</v>
      </c>
      <c r="R73" s="15" t="s">
        <v>382</v>
      </c>
      <c r="S73" s="34">
        <v>954.38</v>
      </c>
      <c r="T73" s="34"/>
      <c r="U73" s="35">
        <v>338.06</v>
      </c>
      <c r="V73" s="38">
        <f t="shared" si="2"/>
        <v>338.06</v>
      </c>
      <c r="W73" s="39" t="str">
        <f t="shared" si="3"/>
        <v/>
      </c>
    </row>
    <row r="74" spans="13:23" x14ac:dyDescent="0.2">
      <c r="M74" s="15" t="s">
        <v>90</v>
      </c>
      <c r="N74" s="14" t="s">
        <v>378</v>
      </c>
      <c r="O74" s="14" t="s">
        <v>379</v>
      </c>
      <c r="P74" s="14" t="s">
        <v>380</v>
      </c>
      <c r="Q74" s="14" t="s">
        <v>381</v>
      </c>
      <c r="R74" s="15" t="s">
        <v>382</v>
      </c>
      <c r="S74" s="34">
        <v>617.5</v>
      </c>
      <c r="T74" s="34">
        <v>0</v>
      </c>
      <c r="U74" s="35">
        <v>20</v>
      </c>
      <c r="V74" s="38">
        <f t="shared" si="2"/>
        <v>20</v>
      </c>
      <c r="W74" s="39" t="str">
        <f t="shared" si="3"/>
        <v/>
      </c>
    </row>
    <row r="75" spans="13:23" x14ac:dyDescent="0.2">
      <c r="M75" s="15" t="s">
        <v>91</v>
      </c>
      <c r="N75" s="14" t="s">
        <v>378</v>
      </c>
      <c r="O75" s="14" t="s">
        <v>379</v>
      </c>
      <c r="P75" s="14" t="s">
        <v>380</v>
      </c>
      <c r="Q75" s="14" t="s">
        <v>381</v>
      </c>
      <c r="R75" s="15" t="s">
        <v>382</v>
      </c>
      <c r="S75" s="34">
        <v>209.88</v>
      </c>
      <c r="T75" s="34"/>
      <c r="U75" s="35">
        <v>499.64</v>
      </c>
      <c r="V75" s="38">
        <f t="shared" si="2"/>
        <v>499.64</v>
      </c>
      <c r="W75" s="39" t="str">
        <f t="shared" si="3"/>
        <v/>
      </c>
    </row>
    <row r="76" spans="13:23" x14ac:dyDescent="0.2">
      <c r="M76" s="15" t="s">
        <v>92</v>
      </c>
      <c r="N76" s="14" t="s">
        <v>378</v>
      </c>
      <c r="O76" s="14" t="s">
        <v>379</v>
      </c>
      <c r="P76" s="14" t="s">
        <v>380</v>
      </c>
      <c r="Q76" s="14" t="s">
        <v>381</v>
      </c>
      <c r="R76" s="15" t="s">
        <v>382</v>
      </c>
      <c r="S76" s="34">
        <v>9456.9500000000007</v>
      </c>
      <c r="T76" s="34"/>
      <c r="U76" s="35">
        <v>0</v>
      </c>
      <c r="V76" s="38">
        <f t="shared" si="2"/>
        <v>0</v>
      </c>
      <c r="W76" s="39" t="str">
        <f t="shared" si="3"/>
        <v/>
      </c>
    </row>
    <row r="77" spans="13:23" x14ac:dyDescent="0.2">
      <c r="M77" s="15" t="s">
        <v>93</v>
      </c>
      <c r="N77" s="14" t="s">
        <v>378</v>
      </c>
      <c r="O77" s="14" t="s">
        <v>379</v>
      </c>
      <c r="P77" s="14" t="s">
        <v>380</v>
      </c>
      <c r="Q77" s="14" t="s">
        <v>381</v>
      </c>
      <c r="R77" s="15" t="s">
        <v>382</v>
      </c>
      <c r="S77" s="34">
        <v>45.56</v>
      </c>
      <c r="T77" s="34">
        <v>52.69</v>
      </c>
      <c r="U77" s="35">
        <v>264.5</v>
      </c>
      <c r="V77" s="38">
        <f t="shared" si="2"/>
        <v>211.81</v>
      </c>
      <c r="W77" s="39" t="str">
        <f t="shared" si="3"/>
        <v>&gt;100%</v>
      </c>
    </row>
    <row r="78" spans="13:23" x14ac:dyDescent="0.2">
      <c r="M78" s="15" t="s">
        <v>94</v>
      </c>
      <c r="N78" s="14" t="s">
        <v>378</v>
      </c>
      <c r="O78" s="14" t="s">
        <v>379</v>
      </c>
      <c r="P78" s="14" t="s">
        <v>380</v>
      </c>
      <c r="Q78" s="14" t="s">
        <v>381</v>
      </c>
      <c r="R78" s="15" t="s">
        <v>382</v>
      </c>
      <c r="S78" s="34">
        <v>123.64</v>
      </c>
      <c r="T78" s="34"/>
      <c r="U78" s="35">
        <v>40.46</v>
      </c>
      <c r="V78" s="38">
        <f t="shared" si="2"/>
        <v>40.46</v>
      </c>
      <c r="W78" s="39" t="str">
        <f t="shared" si="3"/>
        <v/>
      </c>
    </row>
    <row r="79" spans="13:23" x14ac:dyDescent="0.2">
      <c r="M79" s="15" t="s">
        <v>95</v>
      </c>
      <c r="N79" s="14" t="s">
        <v>378</v>
      </c>
      <c r="O79" s="14" t="s">
        <v>379</v>
      </c>
      <c r="P79" s="14" t="s">
        <v>380</v>
      </c>
      <c r="Q79" s="14" t="s">
        <v>381</v>
      </c>
      <c r="R79" s="15" t="s">
        <v>382</v>
      </c>
      <c r="S79" s="34">
        <v>514.1</v>
      </c>
      <c r="T79" s="34"/>
      <c r="U79" s="35"/>
      <c r="V79" s="38">
        <f t="shared" si="2"/>
        <v>0</v>
      </c>
      <c r="W79" s="39" t="str">
        <f t="shared" si="3"/>
        <v/>
      </c>
    </row>
    <row r="80" spans="13:23" x14ac:dyDescent="0.2">
      <c r="M80" s="15" t="s">
        <v>96</v>
      </c>
      <c r="N80" s="14" t="s">
        <v>378</v>
      </c>
      <c r="O80" s="14" t="s">
        <v>379</v>
      </c>
      <c r="P80" s="14" t="s">
        <v>380</v>
      </c>
      <c r="Q80" s="14" t="s">
        <v>381</v>
      </c>
      <c r="R80" s="15" t="s">
        <v>382</v>
      </c>
      <c r="S80" s="34">
        <v>245.52</v>
      </c>
      <c r="T80" s="34"/>
      <c r="U80" s="35">
        <v>43.84</v>
      </c>
      <c r="V80" s="38">
        <f t="shared" si="2"/>
        <v>43.84</v>
      </c>
      <c r="W80" s="39" t="str">
        <f t="shared" si="3"/>
        <v/>
      </c>
    </row>
    <row r="81" spans="13:23" x14ac:dyDescent="0.2">
      <c r="M81" s="15" t="s">
        <v>97</v>
      </c>
      <c r="N81" s="14" t="s">
        <v>378</v>
      </c>
      <c r="O81" s="14" t="s">
        <v>379</v>
      </c>
      <c r="P81" s="14" t="s">
        <v>380</v>
      </c>
      <c r="Q81" s="14" t="s">
        <v>381</v>
      </c>
      <c r="R81" s="15" t="s">
        <v>382</v>
      </c>
      <c r="S81" s="34">
        <v>325.83999999999997</v>
      </c>
      <c r="T81" s="34"/>
      <c r="U81" s="35">
        <v>57.62</v>
      </c>
      <c r="V81" s="38">
        <f t="shared" si="2"/>
        <v>57.62</v>
      </c>
      <c r="W81" s="39" t="str">
        <f t="shared" si="3"/>
        <v/>
      </c>
    </row>
    <row r="82" spans="13:23" x14ac:dyDescent="0.2">
      <c r="M82" s="15" t="s">
        <v>98</v>
      </c>
      <c r="N82" s="14" t="s">
        <v>378</v>
      </c>
      <c r="O82" s="14" t="s">
        <v>379</v>
      </c>
      <c r="P82" s="14" t="s">
        <v>380</v>
      </c>
      <c r="Q82" s="14" t="s">
        <v>381</v>
      </c>
      <c r="R82" s="15" t="s">
        <v>382</v>
      </c>
      <c r="S82" s="34">
        <v>120.48</v>
      </c>
      <c r="T82" s="34"/>
      <c r="U82" s="35"/>
      <c r="V82" s="38">
        <f t="shared" si="2"/>
        <v>0</v>
      </c>
      <c r="W82" s="39" t="str">
        <f t="shared" si="3"/>
        <v/>
      </c>
    </row>
    <row r="83" spans="13:23" x14ac:dyDescent="0.2">
      <c r="M83" s="15" t="s">
        <v>99</v>
      </c>
      <c r="N83" s="14" t="s">
        <v>378</v>
      </c>
      <c r="O83" s="14" t="s">
        <v>379</v>
      </c>
      <c r="P83" s="14" t="s">
        <v>380</v>
      </c>
      <c r="Q83" s="14" t="s">
        <v>381</v>
      </c>
      <c r="R83" s="15" t="s">
        <v>382</v>
      </c>
      <c r="S83" s="34">
        <v>35.130000000000003</v>
      </c>
      <c r="T83" s="34"/>
      <c r="U83" s="35"/>
      <c r="V83" s="38">
        <f t="shared" si="2"/>
        <v>0</v>
      </c>
      <c r="W83" s="39" t="str">
        <f t="shared" si="3"/>
        <v/>
      </c>
    </row>
    <row r="84" spans="13:23" x14ac:dyDescent="0.2">
      <c r="M84" s="15" t="s">
        <v>100</v>
      </c>
      <c r="N84" s="14" t="s">
        <v>378</v>
      </c>
      <c r="O84" s="14" t="s">
        <v>379</v>
      </c>
      <c r="P84" s="14" t="s">
        <v>380</v>
      </c>
      <c r="Q84" s="14" t="s">
        <v>381</v>
      </c>
      <c r="R84" s="15" t="s">
        <v>382</v>
      </c>
      <c r="S84" s="34">
        <v>49.75</v>
      </c>
      <c r="T84" s="34"/>
      <c r="U84" s="35"/>
      <c r="V84" s="38">
        <f t="shared" si="2"/>
        <v>0</v>
      </c>
      <c r="W84" s="39" t="str">
        <f t="shared" si="3"/>
        <v/>
      </c>
    </row>
    <row r="85" spans="13:23" x14ac:dyDescent="0.2">
      <c r="M85" s="15" t="s">
        <v>101</v>
      </c>
      <c r="N85" s="14" t="s">
        <v>378</v>
      </c>
      <c r="O85" s="14" t="s">
        <v>379</v>
      </c>
      <c r="P85" s="14" t="s">
        <v>380</v>
      </c>
      <c r="Q85" s="14" t="s">
        <v>381</v>
      </c>
      <c r="R85" s="15" t="s">
        <v>382</v>
      </c>
      <c r="S85" s="34">
        <v>87.24</v>
      </c>
      <c r="T85" s="34"/>
      <c r="U85" s="35"/>
      <c r="V85" s="38">
        <f t="shared" si="2"/>
        <v>0</v>
      </c>
      <c r="W85" s="39" t="str">
        <f t="shared" si="3"/>
        <v/>
      </c>
    </row>
    <row r="86" spans="13:23" x14ac:dyDescent="0.2">
      <c r="M86" s="15" t="s">
        <v>102</v>
      </c>
      <c r="N86" s="14" t="s">
        <v>378</v>
      </c>
      <c r="O86" s="14" t="s">
        <v>379</v>
      </c>
      <c r="P86" s="14" t="s">
        <v>380</v>
      </c>
      <c r="Q86" s="14" t="s">
        <v>381</v>
      </c>
      <c r="R86" s="15" t="s">
        <v>382</v>
      </c>
      <c r="S86" s="34">
        <v>849.68</v>
      </c>
      <c r="T86" s="34">
        <v>277.82</v>
      </c>
      <c r="U86" s="35"/>
      <c r="V86" s="38">
        <f t="shared" si="2"/>
        <v>-277.82</v>
      </c>
      <c r="W86" s="39">
        <f t="shared" si="3"/>
        <v>-1</v>
      </c>
    </row>
    <row r="87" spans="13:23" x14ac:dyDescent="0.2">
      <c r="M87" s="15" t="s">
        <v>103</v>
      </c>
      <c r="N87" s="14" t="s">
        <v>378</v>
      </c>
      <c r="O87" s="14" t="s">
        <v>379</v>
      </c>
      <c r="P87" s="14" t="s">
        <v>380</v>
      </c>
      <c r="Q87" s="14" t="s">
        <v>381</v>
      </c>
      <c r="R87" s="15" t="s">
        <v>382</v>
      </c>
      <c r="S87" s="34"/>
      <c r="T87" s="34">
        <v>5577.09</v>
      </c>
      <c r="U87" s="35">
        <v>2912.65</v>
      </c>
      <c r="V87" s="38">
        <f t="shared" si="2"/>
        <v>-2664.44</v>
      </c>
      <c r="W87" s="39">
        <f t="shared" si="3"/>
        <v>-0.47774735569983628</v>
      </c>
    </row>
    <row r="88" spans="13:23" x14ac:dyDescent="0.2">
      <c r="M88" s="15" t="s">
        <v>104</v>
      </c>
      <c r="N88" s="14" t="s">
        <v>378</v>
      </c>
      <c r="O88" s="14" t="s">
        <v>379</v>
      </c>
      <c r="P88" s="14" t="s">
        <v>380</v>
      </c>
      <c r="Q88" s="14" t="s">
        <v>381</v>
      </c>
      <c r="R88" s="15" t="s">
        <v>382</v>
      </c>
      <c r="S88" s="34"/>
      <c r="T88" s="34">
        <v>24907.79</v>
      </c>
      <c r="U88" s="35">
        <v>17025.759999999998</v>
      </c>
      <c r="V88" s="38">
        <f t="shared" si="2"/>
        <v>-7882.0300000000025</v>
      </c>
      <c r="W88" s="39">
        <f t="shared" si="3"/>
        <v>-0.31644838823516669</v>
      </c>
    </row>
    <row r="89" spans="13:23" x14ac:dyDescent="0.2">
      <c r="M89" s="15" t="s">
        <v>105</v>
      </c>
      <c r="N89" s="14" t="s">
        <v>378</v>
      </c>
      <c r="O89" s="14" t="s">
        <v>379</v>
      </c>
      <c r="P89" s="14" t="s">
        <v>380</v>
      </c>
      <c r="Q89" s="14" t="s">
        <v>381</v>
      </c>
      <c r="R89" s="15" t="s">
        <v>382</v>
      </c>
      <c r="S89" s="34"/>
      <c r="T89" s="34">
        <v>695.25</v>
      </c>
      <c r="U89" s="35"/>
      <c r="V89" s="38">
        <f t="shared" si="2"/>
        <v>-695.25</v>
      </c>
      <c r="W89" s="39">
        <f t="shared" si="3"/>
        <v>-1</v>
      </c>
    </row>
    <row r="90" spans="13:23" x14ac:dyDescent="0.2">
      <c r="M90" s="15" t="s">
        <v>106</v>
      </c>
      <c r="N90" s="14" t="s">
        <v>378</v>
      </c>
      <c r="O90" s="14" t="s">
        <v>379</v>
      </c>
      <c r="P90" s="14" t="s">
        <v>380</v>
      </c>
      <c r="Q90" s="14" t="s">
        <v>381</v>
      </c>
      <c r="R90" s="15" t="s">
        <v>382</v>
      </c>
      <c r="S90" s="34"/>
      <c r="T90" s="34">
        <v>12224.64</v>
      </c>
      <c r="U90" s="35">
        <v>727.25</v>
      </c>
      <c r="V90" s="38">
        <f t="shared" si="2"/>
        <v>-11497.39</v>
      </c>
      <c r="W90" s="39">
        <f t="shared" si="3"/>
        <v>-0.94050949557614782</v>
      </c>
    </row>
    <row r="91" spans="13:23" x14ac:dyDescent="0.2">
      <c r="M91" s="15" t="s">
        <v>107</v>
      </c>
      <c r="N91" s="14" t="s">
        <v>378</v>
      </c>
      <c r="O91" s="14" t="s">
        <v>379</v>
      </c>
      <c r="P91" s="14" t="s">
        <v>380</v>
      </c>
      <c r="Q91" s="14" t="s">
        <v>381</v>
      </c>
      <c r="R91" s="15" t="s">
        <v>382</v>
      </c>
      <c r="S91" s="34">
        <v>150.83000000000001</v>
      </c>
      <c r="T91" s="34">
        <v>0.01</v>
      </c>
      <c r="U91" s="35"/>
      <c r="V91" s="38">
        <f t="shared" si="2"/>
        <v>-0.01</v>
      </c>
      <c r="W91" s="39">
        <f t="shared" si="3"/>
        <v>-1</v>
      </c>
    </row>
    <row r="92" spans="13:23" x14ac:dyDescent="0.2">
      <c r="M92" s="15" t="s">
        <v>108</v>
      </c>
      <c r="N92" s="14" t="s">
        <v>378</v>
      </c>
      <c r="O92" s="14" t="s">
        <v>379</v>
      </c>
      <c r="P92" s="14" t="s">
        <v>380</v>
      </c>
      <c r="Q92" s="14" t="s">
        <v>381</v>
      </c>
      <c r="R92" s="15" t="s">
        <v>382</v>
      </c>
      <c r="S92" s="34"/>
      <c r="T92" s="34">
        <v>12691.25</v>
      </c>
      <c r="U92" s="35">
        <v>11077.03</v>
      </c>
      <c r="V92" s="38">
        <f t="shared" si="2"/>
        <v>-1614.2199999999993</v>
      </c>
      <c r="W92" s="39">
        <f t="shared" si="3"/>
        <v>-0.12719156899438586</v>
      </c>
    </row>
    <row r="93" spans="13:23" x14ac:dyDescent="0.2">
      <c r="M93" s="15" t="s">
        <v>109</v>
      </c>
      <c r="N93" s="14" t="s">
        <v>378</v>
      </c>
      <c r="O93" s="14" t="s">
        <v>379</v>
      </c>
      <c r="P93" s="14" t="s">
        <v>380</v>
      </c>
      <c r="Q93" s="14" t="s">
        <v>381</v>
      </c>
      <c r="R93" s="15" t="s">
        <v>382</v>
      </c>
      <c r="S93" s="34"/>
      <c r="T93" s="34">
        <v>2025.3</v>
      </c>
      <c r="U93" s="35">
        <v>12004.34</v>
      </c>
      <c r="V93" s="38">
        <f t="shared" si="2"/>
        <v>9979.0400000000009</v>
      </c>
      <c r="W93" s="39" t="str">
        <f t="shared" si="3"/>
        <v>&gt;100%</v>
      </c>
    </row>
    <row r="94" spans="13:23" x14ac:dyDescent="0.2">
      <c r="M94" s="15" t="s">
        <v>110</v>
      </c>
      <c r="N94" s="14" t="s">
        <v>378</v>
      </c>
      <c r="O94" s="14" t="s">
        <v>379</v>
      </c>
      <c r="P94" s="14" t="s">
        <v>380</v>
      </c>
      <c r="Q94" s="14" t="s">
        <v>381</v>
      </c>
      <c r="R94" s="15" t="s">
        <v>382</v>
      </c>
      <c r="S94" s="34"/>
      <c r="T94" s="34">
        <v>231.23</v>
      </c>
      <c r="U94" s="35">
        <v>232.09</v>
      </c>
      <c r="V94" s="38">
        <f t="shared" si="2"/>
        <v>0.86000000000001364</v>
      </c>
      <c r="W94" s="39">
        <f t="shared" si="3"/>
        <v>3.7192405829693971E-3</v>
      </c>
    </row>
    <row r="95" spans="13:23" x14ac:dyDescent="0.2">
      <c r="M95" s="15" t="s">
        <v>111</v>
      </c>
      <c r="N95" s="14" t="s">
        <v>378</v>
      </c>
      <c r="O95" s="14" t="s">
        <v>379</v>
      </c>
      <c r="P95" s="14" t="s">
        <v>380</v>
      </c>
      <c r="Q95" s="14" t="s">
        <v>381</v>
      </c>
      <c r="R95" s="15" t="s">
        <v>382</v>
      </c>
      <c r="S95" s="34"/>
      <c r="T95" s="34">
        <v>93.99</v>
      </c>
      <c r="U95" s="35"/>
      <c r="V95" s="38">
        <f t="shared" si="2"/>
        <v>-93.99</v>
      </c>
      <c r="W95" s="39">
        <f t="shared" si="3"/>
        <v>-1</v>
      </c>
    </row>
    <row r="96" spans="13:23" x14ac:dyDescent="0.2">
      <c r="M96" s="15" t="s">
        <v>112</v>
      </c>
      <c r="N96" s="14" t="s">
        <v>378</v>
      </c>
      <c r="O96" s="14" t="s">
        <v>379</v>
      </c>
      <c r="P96" s="14" t="s">
        <v>380</v>
      </c>
      <c r="Q96" s="14" t="s">
        <v>381</v>
      </c>
      <c r="R96" s="15" t="s">
        <v>382</v>
      </c>
      <c r="S96" s="34"/>
      <c r="T96" s="34">
        <v>783.31</v>
      </c>
      <c r="U96" s="35"/>
      <c r="V96" s="38">
        <f t="shared" si="2"/>
        <v>-783.31</v>
      </c>
      <c r="W96" s="39">
        <f t="shared" si="3"/>
        <v>-1</v>
      </c>
    </row>
    <row r="97" spans="13:23" x14ac:dyDescent="0.2">
      <c r="M97" s="15" t="s">
        <v>113</v>
      </c>
      <c r="N97" s="14" t="s">
        <v>378</v>
      </c>
      <c r="O97" s="14" t="s">
        <v>379</v>
      </c>
      <c r="P97" s="14" t="s">
        <v>380</v>
      </c>
      <c r="Q97" s="14" t="s">
        <v>381</v>
      </c>
      <c r="R97" s="15" t="s">
        <v>382</v>
      </c>
      <c r="S97" s="34"/>
      <c r="T97" s="34">
        <v>148.6</v>
      </c>
      <c r="U97" s="35"/>
      <c r="V97" s="38">
        <f t="shared" si="2"/>
        <v>-148.6</v>
      </c>
      <c r="W97" s="39">
        <f t="shared" si="3"/>
        <v>-1</v>
      </c>
    </row>
    <row r="98" spans="13:23" x14ac:dyDescent="0.2">
      <c r="M98" s="15" t="s">
        <v>114</v>
      </c>
      <c r="N98" s="14" t="s">
        <v>378</v>
      </c>
      <c r="O98" s="14" t="s">
        <v>379</v>
      </c>
      <c r="P98" s="14" t="s">
        <v>380</v>
      </c>
      <c r="Q98" s="14" t="s">
        <v>381</v>
      </c>
      <c r="R98" s="15" t="s">
        <v>382</v>
      </c>
      <c r="S98" s="34"/>
      <c r="T98" s="34"/>
      <c r="U98" s="35">
        <v>269.64999999999998</v>
      </c>
      <c r="V98" s="38">
        <f t="shared" si="2"/>
        <v>269.64999999999998</v>
      </c>
      <c r="W98" s="39" t="str">
        <f t="shared" si="3"/>
        <v/>
      </c>
    </row>
    <row r="99" spans="13:23" x14ac:dyDescent="0.2">
      <c r="M99" s="15" t="s">
        <v>115</v>
      </c>
      <c r="N99" s="14" t="s">
        <v>378</v>
      </c>
      <c r="O99" s="14" t="s">
        <v>379</v>
      </c>
      <c r="P99" s="14" t="s">
        <v>380</v>
      </c>
      <c r="Q99" s="14" t="s">
        <v>381</v>
      </c>
      <c r="R99" s="15" t="s">
        <v>382</v>
      </c>
      <c r="S99" s="34"/>
      <c r="T99" s="34">
        <v>340.13</v>
      </c>
      <c r="U99" s="35"/>
      <c r="V99" s="38">
        <f t="shared" si="2"/>
        <v>-340.13</v>
      </c>
      <c r="W99" s="39">
        <f t="shared" si="3"/>
        <v>-1</v>
      </c>
    </row>
    <row r="100" spans="13:23" x14ac:dyDescent="0.2">
      <c r="M100" s="15" t="s">
        <v>116</v>
      </c>
      <c r="N100" s="14" t="s">
        <v>378</v>
      </c>
      <c r="O100" s="14" t="s">
        <v>379</v>
      </c>
      <c r="P100" s="14" t="s">
        <v>380</v>
      </c>
      <c r="Q100" s="14" t="s">
        <v>381</v>
      </c>
      <c r="R100" s="15" t="s">
        <v>382</v>
      </c>
      <c r="S100" s="34"/>
      <c r="T100" s="34">
        <v>1056.71</v>
      </c>
      <c r="U100" s="35"/>
      <c r="V100" s="38">
        <f t="shared" si="2"/>
        <v>-1056.71</v>
      </c>
      <c r="W100" s="39">
        <f t="shared" si="3"/>
        <v>-1</v>
      </c>
    </row>
    <row r="101" spans="13:23" x14ac:dyDescent="0.2">
      <c r="M101" s="15" t="s">
        <v>117</v>
      </c>
      <c r="N101" s="14" t="s">
        <v>378</v>
      </c>
      <c r="O101" s="14" t="s">
        <v>379</v>
      </c>
      <c r="P101" s="14" t="s">
        <v>380</v>
      </c>
      <c r="Q101" s="14" t="s">
        <v>381</v>
      </c>
      <c r="R101" s="15" t="s">
        <v>382</v>
      </c>
      <c r="S101" s="34"/>
      <c r="T101" s="34">
        <v>90.99</v>
      </c>
      <c r="U101" s="35">
        <v>1412.33</v>
      </c>
      <c r="V101" s="38">
        <f t="shared" si="2"/>
        <v>1321.34</v>
      </c>
      <c r="W101" s="39" t="str">
        <f t="shared" si="3"/>
        <v>&gt;100%</v>
      </c>
    </row>
    <row r="102" spans="13:23" x14ac:dyDescent="0.2">
      <c r="M102" s="15" t="s">
        <v>118</v>
      </c>
      <c r="N102" s="14" t="s">
        <v>378</v>
      </c>
      <c r="O102" s="14" t="s">
        <v>379</v>
      </c>
      <c r="P102" s="14" t="s">
        <v>380</v>
      </c>
      <c r="Q102" s="14" t="s">
        <v>381</v>
      </c>
      <c r="R102" s="15" t="s">
        <v>382</v>
      </c>
      <c r="S102" s="34"/>
      <c r="T102" s="34">
        <v>147.52000000000001</v>
      </c>
      <c r="U102" s="35"/>
      <c r="V102" s="38">
        <f t="shared" si="2"/>
        <v>-147.52000000000001</v>
      </c>
      <c r="W102" s="39">
        <f t="shared" si="3"/>
        <v>-1</v>
      </c>
    </row>
    <row r="103" spans="13:23" x14ac:dyDescent="0.2">
      <c r="M103" s="15" t="s">
        <v>119</v>
      </c>
      <c r="N103" s="14" t="s">
        <v>378</v>
      </c>
      <c r="O103" s="14" t="s">
        <v>379</v>
      </c>
      <c r="P103" s="14" t="s">
        <v>380</v>
      </c>
      <c r="Q103" s="14" t="s">
        <v>381</v>
      </c>
      <c r="R103" s="15" t="s">
        <v>382</v>
      </c>
      <c r="S103" s="34"/>
      <c r="T103" s="34">
        <v>340.15</v>
      </c>
      <c r="U103" s="35"/>
      <c r="V103" s="38">
        <f t="shared" si="2"/>
        <v>-340.15</v>
      </c>
      <c r="W103" s="39">
        <f t="shared" si="3"/>
        <v>-1</v>
      </c>
    </row>
    <row r="104" spans="13:23" x14ac:dyDescent="0.2">
      <c r="M104" s="15" t="s">
        <v>120</v>
      </c>
      <c r="N104" s="14" t="s">
        <v>378</v>
      </c>
      <c r="O104" s="14" t="s">
        <v>379</v>
      </c>
      <c r="P104" s="14" t="s">
        <v>380</v>
      </c>
      <c r="Q104" s="14" t="s">
        <v>381</v>
      </c>
      <c r="R104" s="15" t="s">
        <v>382</v>
      </c>
      <c r="S104" s="34"/>
      <c r="T104" s="34">
        <v>106.2</v>
      </c>
      <c r="U104" s="35">
        <v>7162.83</v>
      </c>
      <c r="V104" s="38">
        <f t="shared" si="2"/>
        <v>7056.63</v>
      </c>
      <c r="W104" s="39" t="str">
        <f t="shared" si="3"/>
        <v>&gt;100%</v>
      </c>
    </row>
    <row r="105" spans="13:23" x14ac:dyDescent="0.2">
      <c r="M105" s="15" t="s">
        <v>121</v>
      </c>
      <c r="N105" s="14" t="s">
        <v>378</v>
      </c>
      <c r="O105" s="14" t="s">
        <v>379</v>
      </c>
      <c r="P105" s="14" t="s">
        <v>380</v>
      </c>
      <c r="Q105" s="14" t="s">
        <v>381</v>
      </c>
      <c r="R105" s="15" t="s">
        <v>382</v>
      </c>
      <c r="S105" s="34"/>
      <c r="T105" s="34">
        <v>10</v>
      </c>
      <c r="U105" s="35">
        <v>10</v>
      </c>
      <c r="V105" s="38">
        <f t="shared" si="2"/>
        <v>0</v>
      </c>
      <c r="W105" s="39">
        <f t="shared" si="3"/>
        <v>0</v>
      </c>
    </row>
    <row r="106" spans="13:23" x14ac:dyDescent="0.2">
      <c r="M106" s="15" t="s">
        <v>122</v>
      </c>
      <c r="N106" s="14" t="s">
        <v>378</v>
      </c>
      <c r="O106" s="14" t="s">
        <v>379</v>
      </c>
      <c r="P106" s="14" t="s">
        <v>380</v>
      </c>
      <c r="Q106" s="14" t="s">
        <v>381</v>
      </c>
      <c r="R106" s="15" t="s">
        <v>382</v>
      </c>
      <c r="S106" s="34"/>
      <c r="T106" s="34">
        <v>12091.63</v>
      </c>
      <c r="U106" s="35">
        <v>684.81</v>
      </c>
      <c r="V106" s="38">
        <f t="shared" si="2"/>
        <v>-11406.82</v>
      </c>
      <c r="W106" s="39">
        <f t="shared" si="3"/>
        <v>-0.94336495575865298</v>
      </c>
    </row>
    <row r="107" spans="13:23" x14ac:dyDescent="0.2">
      <c r="M107" s="15" t="s">
        <v>123</v>
      </c>
      <c r="N107" s="14" t="s">
        <v>378</v>
      </c>
      <c r="O107" s="14" t="s">
        <v>379</v>
      </c>
      <c r="P107" s="14" t="s">
        <v>380</v>
      </c>
      <c r="Q107" s="14" t="s">
        <v>381</v>
      </c>
      <c r="R107" s="15" t="s">
        <v>382</v>
      </c>
      <c r="S107" s="34"/>
      <c r="T107" s="34">
        <v>39.5</v>
      </c>
      <c r="U107" s="35">
        <v>86.78</v>
      </c>
      <c r="V107" s="38">
        <f t="shared" si="2"/>
        <v>47.28</v>
      </c>
      <c r="W107" s="39" t="str">
        <f t="shared" si="3"/>
        <v>&gt;100%</v>
      </c>
    </row>
    <row r="108" spans="13:23" x14ac:dyDescent="0.2">
      <c r="M108" s="15" t="s">
        <v>124</v>
      </c>
      <c r="N108" s="14" t="s">
        <v>378</v>
      </c>
      <c r="O108" s="14" t="s">
        <v>379</v>
      </c>
      <c r="P108" s="14" t="s">
        <v>380</v>
      </c>
      <c r="Q108" s="14" t="s">
        <v>381</v>
      </c>
      <c r="R108" s="15" t="s">
        <v>382</v>
      </c>
      <c r="S108" s="34"/>
      <c r="T108" s="34">
        <v>1359.02</v>
      </c>
      <c r="U108" s="35">
        <v>0</v>
      </c>
      <c r="V108" s="38">
        <f t="shared" si="2"/>
        <v>-1359.02</v>
      </c>
      <c r="W108" s="39">
        <f t="shared" si="3"/>
        <v>-1</v>
      </c>
    </row>
    <row r="109" spans="13:23" x14ac:dyDescent="0.2">
      <c r="M109" s="15" t="s">
        <v>125</v>
      </c>
      <c r="N109" s="14" t="s">
        <v>378</v>
      </c>
      <c r="O109" s="14" t="s">
        <v>379</v>
      </c>
      <c r="P109" s="14" t="s">
        <v>380</v>
      </c>
      <c r="Q109" s="14" t="s">
        <v>381</v>
      </c>
      <c r="R109" s="15" t="s">
        <v>382</v>
      </c>
      <c r="S109" s="34"/>
      <c r="T109" s="34">
        <v>5307.18</v>
      </c>
      <c r="U109" s="35">
        <v>20218.88</v>
      </c>
      <c r="V109" s="38">
        <f t="shared" si="2"/>
        <v>14911.7</v>
      </c>
      <c r="W109" s="39" t="str">
        <f t="shared" si="3"/>
        <v>&gt;100%</v>
      </c>
    </row>
    <row r="110" spans="13:23" x14ac:dyDescent="0.2">
      <c r="M110" s="15" t="s">
        <v>126</v>
      </c>
      <c r="N110" s="14" t="s">
        <v>378</v>
      </c>
      <c r="O110" s="14" t="s">
        <v>379</v>
      </c>
      <c r="P110" s="14" t="s">
        <v>380</v>
      </c>
      <c r="Q110" s="14" t="s">
        <v>381</v>
      </c>
      <c r="R110" s="15" t="s">
        <v>382</v>
      </c>
      <c r="S110" s="34"/>
      <c r="T110" s="34">
        <v>3611.31</v>
      </c>
      <c r="U110" s="35">
        <v>461.82</v>
      </c>
      <c r="V110" s="38">
        <f t="shared" si="2"/>
        <v>-3149.49</v>
      </c>
      <c r="W110" s="39">
        <f t="shared" si="3"/>
        <v>-0.87211842793889194</v>
      </c>
    </row>
    <row r="111" spans="13:23" x14ac:dyDescent="0.2">
      <c r="M111" s="15" t="s">
        <v>127</v>
      </c>
      <c r="N111" s="14" t="s">
        <v>378</v>
      </c>
      <c r="O111" s="14" t="s">
        <v>379</v>
      </c>
      <c r="P111" s="14" t="s">
        <v>380</v>
      </c>
      <c r="Q111" s="14" t="s">
        <v>381</v>
      </c>
      <c r="R111" s="15" t="s">
        <v>382</v>
      </c>
      <c r="S111" s="34"/>
      <c r="T111" s="34">
        <v>10</v>
      </c>
      <c r="U111" s="35">
        <v>20</v>
      </c>
      <c r="V111" s="38">
        <f t="shared" si="2"/>
        <v>10</v>
      </c>
      <c r="W111" s="39">
        <f t="shared" si="3"/>
        <v>1</v>
      </c>
    </row>
    <row r="112" spans="13:23" x14ac:dyDescent="0.2">
      <c r="M112" s="15" t="s">
        <v>128</v>
      </c>
      <c r="N112" s="14" t="s">
        <v>378</v>
      </c>
      <c r="O112" s="14" t="s">
        <v>379</v>
      </c>
      <c r="P112" s="14" t="s">
        <v>380</v>
      </c>
      <c r="Q112" s="14" t="s">
        <v>381</v>
      </c>
      <c r="R112" s="15" t="s">
        <v>382</v>
      </c>
      <c r="S112" s="34"/>
      <c r="T112" s="34">
        <v>705.51</v>
      </c>
      <c r="U112" s="35"/>
      <c r="V112" s="38">
        <f t="shared" si="2"/>
        <v>-705.51</v>
      </c>
      <c r="W112" s="39">
        <f t="shared" si="3"/>
        <v>-1</v>
      </c>
    </row>
    <row r="113" spans="13:23" x14ac:dyDescent="0.2">
      <c r="M113" s="15" t="s">
        <v>129</v>
      </c>
      <c r="N113" s="14" t="s">
        <v>378</v>
      </c>
      <c r="O113" s="14" t="s">
        <v>379</v>
      </c>
      <c r="P113" s="14" t="s">
        <v>380</v>
      </c>
      <c r="Q113" s="14" t="s">
        <v>381</v>
      </c>
      <c r="R113" s="15" t="s">
        <v>382</v>
      </c>
      <c r="S113" s="34"/>
      <c r="T113" s="34">
        <v>8.33</v>
      </c>
      <c r="U113" s="35"/>
      <c r="V113" s="38">
        <f t="shared" si="2"/>
        <v>-8.33</v>
      </c>
      <c r="W113" s="39">
        <f t="shared" si="3"/>
        <v>-1</v>
      </c>
    </row>
    <row r="114" spans="13:23" x14ac:dyDescent="0.2">
      <c r="M114" s="15" t="s">
        <v>130</v>
      </c>
      <c r="N114" s="14" t="s">
        <v>378</v>
      </c>
      <c r="O114" s="14" t="s">
        <v>379</v>
      </c>
      <c r="P114" s="14" t="s">
        <v>380</v>
      </c>
      <c r="Q114" s="14" t="s">
        <v>381</v>
      </c>
      <c r="R114" s="15" t="s">
        <v>382</v>
      </c>
      <c r="S114" s="34"/>
      <c r="T114" s="34">
        <v>529.33000000000004</v>
      </c>
      <c r="U114" s="35">
        <v>776.33</v>
      </c>
      <c r="V114" s="38">
        <f t="shared" si="2"/>
        <v>247</v>
      </c>
      <c r="W114" s="39">
        <f t="shared" si="3"/>
        <v>0.46662762359964483</v>
      </c>
    </row>
    <row r="115" spans="13:23" x14ac:dyDescent="0.2">
      <c r="M115" s="15" t="s">
        <v>131</v>
      </c>
      <c r="N115" s="14" t="s">
        <v>378</v>
      </c>
      <c r="O115" s="14" t="s">
        <v>379</v>
      </c>
      <c r="P115" s="14" t="s">
        <v>380</v>
      </c>
      <c r="Q115" s="14" t="s">
        <v>381</v>
      </c>
      <c r="R115" s="15" t="s">
        <v>382</v>
      </c>
      <c r="S115" s="34"/>
      <c r="T115" s="34">
        <v>66.680000000000007</v>
      </c>
      <c r="U115" s="35"/>
      <c r="V115" s="38">
        <f t="shared" si="2"/>
        <v>-66.680000000000007</v>
      </c>
      <c r="W115" s="39">
        <f t="shared" si="3"/>
        <v>-1</v>
      </c>
    </row>
    <row r="116" spans="13:23" x14ac:dyDescent="0.2">
      <c r="M116" s="15" t="s">
        <v>132</v>
      </c>
      <c r="N116" s="14" t="s">
        <v>378</v>
      </c>
      <c r="O116" s="14" t="s">
        <v>379</v>
      </c>
      <c r="P116" s="14" t="s">
        <v>380</v>
      </c>
      <c r="Q116" s="14" t="s">
        <v>381</v>
      </c>
      <c r="R116" s="15" t="s">
        <v>382</v>
      </c>
      <c r="S116" s="34"/>
      <c r="T116" s="34">
        <v>494</v>
      </c>
      <c r="U116" s="35"/>
      <c r="V116" s="38">
        <f t="shared" si="2"/>
        <v>-494</v>
      </c>
      <c r="W116" s="39">
        <f t="shared" si="3"/>
        <v>-1</v>
      </c>
    </row>
    <row r="117" spans="13:23" x14ac:dyDescent="0.2">
      <c r="M117" s="15" t="s">
        <v>133</v>
      </c>
      <c r="N117" s="14" t="s">
        <v>378</v>
      </c>
      <c r="O117" s="14" t="s">
        <v>379</v>
      </c>
      <c r="P117" s="14" t="s">
        <v>380</v>
      </c>
      <c r="Q117" s="14" t="s">
        <v>381</v>
      </c>
      <c r="R117" s="15" t="s">
        <v>382</v>
      </c>
      <c r="S117" s="34"/>
      <c r="T117" s="34">
        <v>257</v>
      </c>
      <c r="U117" s="35"/>
      <c r="V117" s="38">
        <f t="shared" si="2"/>
        <v>-257</v>
      </c>
      <c r="W117" s="39">
        <f t="shared" si="3"/>
        <v>-1</v>
      </c>
    </row>
    <row r="118" spans="13:23" x14ac:dyDescent="0.2">
      <c r="M118" s="15" t="s">
        <v>134</v>
      </c>
      <c r="N118" s="14" t="s">
        <v>378</v>
      </c>
      <c r="O118" s="14" t="s">
        <v>379</v>
      </c>
      <c r="P118" s="14" t="s">
        <v>380</v>
      </c>
      <c r="Q118" s="14" t="s">
        <v>381</v>
      </c>
      <c r="R118" s="15" t="s">
        <v>382</v>
      </c>
      <c r="S118" s="34"/>
      <c r="T118" s="34">
        <v>2044.42</v>
      </c>
      <c r="U118" s="35"/>
      <c r="V118" s="38">
        <f t="shared" si="2"/>
        <v>-2044.42</v>
      </c>
      <c r="W118" s="39">
        <f t="shared" si="3"/>
        <v>-1</v>
      </c>
    </row>
    <row r="119" spans="13:23" x14ac:dyDescent="0.2">
      <c r="M119" s="15" t="s">
        <v>135</v>
      </c>
      <c r="N119" s="14" t="s">
        <v>378</v>
      </c>
      <c r="O119" s="14" t="s">
        <v>379</v>
      </c>
      <c r="P119" s="14" t="s">
        <v>380</v>
      </c>
      <c r="Q119" s="14" t="s">
        <v>381</v>
      </c>
      <c r="R119" s="15" t="s">
        <v>382</v>
      </c>
      <c r="S119" s="34"/>
      <c r="T119" s="34">
        <v>287.8</v>
      </c>
      <c r="U119" s="35">
        <v>380.14</v>
      </c>
      <c r="V119" s="38">
        <f t="shared" si="2"/>
        <v>92.339999999999975</v>
      </c>
      <c r="W119" s="39">
        <f t="shared" si="3"/>
        <v>0.32084781097984699</v>
      </c>
    </row>
    <row r="120" spans="13:23" x14ac:dyDescent="0.2">
      <c r="M120" s="15" t="s">
        <v>136</v>
      </c>
      <c r="N120" s="14" t="s">
        <v>378</v>
      </c>
      <c r="O120" s="14" t="s">
        <v>379</v>
      </c>
      <c r="P120" s="14" t="s">
        <v>380</v>
      </c>
      <c r="Q120" s="14" t="s">
        <v>381</v>
      </c>
      <c r="R120" s="15" t="s">
        <v>382</v>
      </c>
      <c r="S120" s="34"/>
      <c r="T120" s="34">
        <v>2603.06</v>
      </c>
      <c r="U120" s="35">
        <v>1352.25</v>
      </c>
      <c r="V120" s="38">
        <f t="shared" si="2"/>
        <v>-1250.81</v>
      </c>
      <c r="W120" s="39">
        <f t="shared" si="3"/>
        <v>-0.48051523975628679</v>
      </c>
    </row>
    <row r="121" spans="13:23" x14ac:dyDescent="0.2">
      <c r="M121" s="15" t="s">
        <v>137</v>
      </c>
      <c r="N121" s="14" t="s">
        <v>378</v>
      </c>
      <c r="O121" s="14" t="s">
        <v>379</v>
      </c>
      <c r="P121" s="14" t="s">
        <v>380</v>
      </c>
      <c r="Q121" s="14" t="s">
        <v>381</v>
      </c>
      <c r="R121" s="15" t="s">
        <v>382</v>
      </c>
      <c r="S121" s="34"/>
      <c r="T121" s="34">
        <v>52.98</v>
      </c>
      <c r="U121" s="35"/>
      <c r="V121" s="38">
        <f t="shared" si="2"/>
        <v>-52.98</v>
      </c>
      <c r="W121" s="39">
        <f t="shared" si="3"/>
        <v>-1</v>
      </c>
    </row>
    <row r="122" spans="13:23" x14ac:dyDescent="0.2">
      <c r="M122" s="15" t="s">
        <v>138</v>
      </c>
      <c r="N122" s="14" t="s">
        <v>378</v>
      </c>
      <c r="O122" s="14" t="s">
        <v>379</v>
      </c>
      <c r="P122" s="14" t="s">
        <v>380</v>
      </c>
      <c r="Q122" s="14" t="s">
        <v>381</v>
      </c>
      <c r="R122" s="15" t="s">
        <v>382</v>
      </c>
      <c r="S122" s="34"/>
      <c r="T122" s="34">
        <v>582.75</v>
      </c>
      <c r="U122" s="35">
        <v>10</v>
      </c>
      <c r="V122" s="38">
        <f t="shared" si="2"/>
        <v>-572.75</v>
      </c>
      <c r="W122" s="39">
        <f t="shared" si="3"/>
        <v>-0.98283998283998286</v>
      </c>
    </row>
    <row r="123" spans="13:23" x14ac:dyDescent="0.2">
      <c r="M123" s="15" t="s">
        <v>139</v>
      </c>
      <c r="N123" s="14" t="s">
        <v>378</v>
      </c>
      <c r="O123" s="14" t="s">
        <v>379</v>
      </c>
      <c r="P123" s="14" t="s">
        <v>380</v>
      </c>
      <c r="Q123" s="14" t="s">
        <v>381</v>
      </c>
      <c r="R123" s="15" t="s">
        <v>382</v>
      </c>
      <c r="S123" s="34"/>
      <c r="T123" s="34">
        <v>238.33</v>
      </c>
      <c r="U123" s="35">
        <v>593.39</v>
      </c>
      <c r="V123" s="38">
        <f t="shared" si="2"/>
        <v>355.05999999999995</v>
      </c>
      <c r="W123" s="39" t="str">
        <f t="shared" si="3"/>
        <v>&gt;100%</v>
      </c>
    </row>
    <row r="124" spans="13:23" x14ac:dyDescent="0.2">
      <c r="M124" s="15" t="s">
        <v>140</v>
      </c>
      <c r="N124" s="14" t="s">
        <v>378</v>
      </c>
      <c r="O124" s="14" t="s">
        <v>379</v>
      </c>
      <c r="P124" s="14" t="s">
        <v>380</v>
      </c>
      <c r="Q124" s="14" t="s">
        <v>381</v>
      </c>
      <c r="R124" s="15" t="s">
        <v>382</v>
      </c>
      <c r="S124" s="34"/>
      <c r="T124" s="34">
        <v>878.25</v>
      </c>
      <c r="U124" s="35"/>
      <c r="V124" s="38">
        <f t="shared" si="2"/>
        <v>-878.25</v>
      </c>
      <c r="W124" s="39">
        <f t="shared" si="3"/>
        <v>-1</v>
      </c>
    </row>
    <row r="125" spans="13:23" x14ac:dyDescent="0.2">
      <c r="M125" s="15" t="s">
        <v>141</v>
      </c>
      <c r="N125" s="14" t="s">
        <v>378</v>
      </c>
      <c r="O125" s="14" t="s">
        <v>379</v>
      </c>
      <c r="P125" s="14" t="s">
        <v>380</v>
      </c>
      <c r="Q125" s="14" t="s">
        <v>381</v>
      </c>
      <c r="R125" s="15" t="s">
        <v>382</v>
      </c>
      <c r="S125" s="34"/>
      <c r="T125" s="34">
        <v>66.5</v>
      </c>
      <c r="U125" s="35"/>
      <c r="V125" s="38">
        <f t="shared" si="2"/>
        <v>-66.5</v>
      </c>
      <c r="W125" s="39">
        <f t="shared" si="3"/>
        <v>-1</v>
      </c>
    </row>
    <row r="126" spans="13:23" x14ac:dyDescent="0.2">
      <c r="M126" s="15" t="s">
        <v>142</v>
      </c>
      <c r="N126" s="14" t="s">
        <v>378</v>
      </c>
      <c r="O126" s="14" t="s">
        <v>379</v>
      </c>
      <c r="P126" s="14" t="s">
        <v>380</v>
      </c>
      <c r="Q126" s="14" t="s">
        <v>381</v>
      </c>
      <c r="R126" s="15" t="s">
        <v>382</v>
      </c>
      <c r="S126" s="34"/>
      <c r="T126" s="34">
        <v>73.510000000000005</v>
      </c>
      <c r="U126" s="35"/>
      <c r="V126" s="38">
        <f t="shared" si="2"/>
        <v>-73.510000000000005</v>
      </c>
      <c r="W126" s="39">
        <f t="shared" si="3"/>
        <v>-1</v>
      </c>
    </row>
    <row r="127" spans="13:23" x14ac:dyDescent="0.2">
      <c r="M127" s="15" t="s">
        <v>143</v>
      </c>
      <c r="N127" s="14" t="s">
        <v>378</v>
      </c>
      <c r="O127" s="14" t="s">
        <v>379</v>
      </c>
      <c r="P127" s="14" t="s">
        <v>380</v>
      </c>
      <c r="Q127" s="14" t="s">
        <v>381</v>
      </c>
      <c r="R127" s="15" t="s">
        <v>382</v>
      </c>
      <c r="S127" s="34"/>
      <c r="T127" s="34">
        <v>60.32</v>
      </c>
      <c r="U127" s="35"/>
      <c r="V127" s="38">
        <f t="shared" si="2"/>
        <v>-60.32</v>
      </c>
      <c r="W127" s="39">
        <f t="shared" si="3"/>
        <v>-1</v>
      </c>
    </row>
    <row r="128" spans="13:23" x14ac:dyDescent="0.2">
      <c r="M128" s="15" t="s">
        <v>144</v>
      </c>
      <c r="N128" s="14" t="s">
        <v>378</v>
      </c>
      <c r="O128" s="14" t="s">
        <v>379</v>
      </c>
      <c r="P128" s="14" t="s">
        <v>380</v>
      </c>
      <c r="Q128" s="14" t="s">
        <v>381</v>
      </c>
      <c r="R128" s="15" t="s">
        <v>382</v>
      </c>
      <c r="S128" s="34"/>
      <c r="T128" s="34">
        <v>659.27</v>
      </c>
      <c r="U128" s="35"/>
      <c r="V128" s="38">
        <f t="shared" si="2"/>
        <v>-659.27</v>
      </c>
      <c r="W128" s="39">
        <f t="shared" si="3"/>
        <v>-1</v>
      </c>
    </row>
    <row r="129" spans="13:23" x14ac:dyDescent="0.2">
      <c r="M129" s="15" t="s">
        <v>145</v>
      </c>
      <c r="N129" s="14" t="s">
        <v>378</v>
      </c>
      <c r="O129" s="14" t="s">
        <v>379</v>
      </c>
      <c r="P129" s="14" t="s">
        <v>380</v>
      </c>
      <c r="Q129" s="14" t="s">
        <v>381</v>
      </c>
      <c r="R129" s="15" t="s">
        <v>382</v>
      </c>
      <c r="S129" s="34"/>
      <c r="T129" s="34">
        <v>404.9</v>
      </c>
      <c r="U129" s="35"/>
      <c r="V129" s="38">
        <f t="shared" si="2"/>
        <v>-404.9</v>
      </c>
      <c r="W129" s="39">
        <f t="shared" si="3"/>
        <v>-1</v>
      </c>
    </row>
    <row r="130" spans="13:23" x14ac:dyDescent="0.2">
      <c r="M130" s="15" t="s">
        <v>146</v>
      </c>
      <c r="N130" s="14" t="s">
        <v>378</v>
      </c>
      <c r="O130" s="14" t="s">
        <v>379</v>
      </c>
      <c r="P130" s="14" t="s">
        <v>380</v>
      </c>
      <c r="Q130" s="14" t="s">
        <v>381</v>
      </c>
      <c r="R130" s="15" t="s">
        <v>382</v>
      </c>
      <c r="S130" s="34"/>
      <c r="T130" s="34">
        <v>49.46</v>
      </c>
      <c r="U130" s="35"/>
      <c r="V130" s="38">
        <f t="shared" si="2"/>
        <v>-49.46</v>
      </c>
      <c r="W130" s="39">
        <f t="shared" si="3"/>
        <v>-1</v>
      </c>
    </row>
    <row r="131" spans="13:23" x14ac:dyDescent="0.2">
      <c r="M131" s="15" t="s">
        <v>147</v>
      </c>
      <c r="N131" s="14" t="s">
        <v>378</v>
      </c>
      <c r="O131" s="14" t="s">
        <v>379</v>
      </c>
      <c r="P131" s="14" t="s">
        <v>380</v>
      </c>
      <c r="Q131" s="14" t="s">
        <v>381</v>
      </c>
      <c r="R131" s="15" t="s">
        <v>382</v>
      </c>
      <c r="S131" s="34"/>
      <c r="T131" s="34">
        <v>44.8</v>
      </c>
      <c r="U131" s="35"/>
      <c r="V131" s="38">
        <f t="shared" si="2"/>
        <v>-44.8</v>
      </c>
      <c r="W131" s="39">
        <f t="shared" si="3"/>
        <v>-1</v>
      </c>
    </row>
    <row r="132" spans="13:23" x14ac:dyDescent="0.2">
      <c r="M132" s="15" t="s">
        <v>148</v>
      </c>
      <c r="N132" s="14" t="s">
        <v>378</v>
      </c>
      <c r="O132" s="14" t="s">
        <v>379</v>
      </c>
      <c r="P132" s="14" t="s">
        <v>380</v>
      </c>
      <c r="Q132" s="14" t="s">
        <v>381</v>
      </c>
      <c r="R132" s="15" t="s">
        <v>382</v>
      </c>
      <c r="S132" s="34"/>
      <c r="T132" s="34"/>
      <c r="U132" s="35">
        <v>562.6</v>
      </c>
      <c r="V132" s="38">
        <f t="shared" si="2"/>
        <v>562.6</v>
      </c>
      <c r="W132" s="39" t="str">
        <f t="shared" si="3"/>
        <v/>
      </c>
    </row>
    <row r="133" spans="13:23" x14ac:dyDescent="0.2">
      <c r="M133" s="15" t="s">
        <v>149</v>
      </c>
      <c r="N133" s="14" t="s">
        <v>378</v>
      </c>
      <c r="O133" s="14" t="s">
        <v>379</v>
      </c>
      <c r="P133" s="14" t="s">
        <v>380</v>
      </c>
      <c r="Q133" s="14" t="s">
        <v>381</v>
      </c>
      <c r="R133" s="15" t="s">
        <v>382</v>
      </c>
      <c r="S133" s="34"/>
      <c r="T133" s="34"/>
      <c r="U133" s="35">
        <v>1604.2</v>
      </c>
      <c r="V133" s="38">
        <f t="shared" ref="V133:V196" si="4">+U133-T133</f>
        <v>1604.2</v>
      </c>
      <c r="W133" s="39" t="str">
        <f t="shared" ref="W133:W196" si="5">IF(T133="","",IF(T133=0,"",IF(T133&lt;0,"",IF((V133/T133)&gt;1,"&gt;100%",IFERROR(V133/T133,"")))))</f>
        <v/>
      </c>
    </row>
    <row r="134" spans="13:23" x14ac:dyDescent="0.2">
      <c r="M134" s="15" t="s">
        <v>150</v>
      </c>
      <c r="N134" s="14" t="s">
        <v>378</v>
      </c>
      <c r="O134" s="14" t="s">
        <v>379</v>
      </c>
      <c r="P134" s="14" t="s">
        <v>380</v>
      </c>
      <c r="Q134" s="14" t="s">
        <v>381</v>
      </c>
      <c r="R134" s="15" t="s">
        <v>382</v>
      </c>
      <c r="S134" s="34"/>
      <c r="T134" s="34"/>
      <c r="U134" s="35">
        <v>1479.08</v>
      </c>
      <c r="V134" s="38">
        <f t="shared" si="4"/>
        <v>1479.08</v>
      </c>
      <c r="W134" s="39" t="str">
        <f t="shared" si="5"/>
        <v/>
      </c>
    </row>
    <row r="135" spans="13:23" x14ac:dyDescent="0.2">
      <c r="M135" s="15" t="s">
        <v>151</v>
      </c>
      <c r="N135" s="14" t="s">
        <v>378</v>
      </c>
      <c r="O135" s="14" t="s">
        <v>379</v>
      </c>
      <c r="P135" s="14" t="s">
        <v>380</v>
      </c>
      <c r="Q135" s="14" t="s">
        <v>381</v>
      </c>
      <c r="R135" s="15" t="s">
        <v>382</v>
      </c>
      <c r="S135" s="34"/>
      <c r="T135" s="34"/>
      <c r="U135" s="35">
        <v>16729.27</v>
      </c>
      <c r="V135" s="38">
        <f t="shared" si="4"/>
        <v>16729.27</v>
      </c>
      <c r="W135" s="39" t="str">
        <f t="shared" si="5"/>
        <v/>
      </c>
    </row>
    <row r="136" spans="13:23" x14ac:dyDescent="0.2">
      <c r="M136" s="15" t="s">
        <v>152</v>
      </c>
      <c r="N136" s="14" t="s">
        <v>378</v>
      </c>
      <c r="O136" s="14" t="s">
        <v>379</v>
      </c>
      <c r="P136" s="14" t="s">
        <v>380</v>
      </c>
      <c r="Q136" s="14" t="s">
        <v>381</v>
      </c>
      <c r="R136" s="15" t="s">
        <v>382</v>
      </c>
      <c r="S136" s="34"/>
      <c r="T136" s="34"/>
      <c r="U136" s="35">
        <v>20</v>
      </c>
      <c r="V136" s="38">
        <f t="shared" si="4"/>
        <v>20</v>
      </c>
      <c r="W136" s="39" t="str">
        <f t="shared" si="5"/>
        <v/>
      </c>
    </row>
    <row r="137" spans="13:23" x14ac:dyDescent="0.2">
      <c r="M137" s="15" t="s">
        <v>153</v>
      </c>
      <c r="N137" s="14" t="s">
        <v>378</v>
      </c>
      <c r="O137" s="14" t="s">
        <v>379</v>
      </c>
      <c r="P137" s="14" t="s">
        <v>380</v>
      </c>
      <c r="Q137" s="14" t="s">
        <v>381</v>
      </c>
      <c r="R137" s="15" t="s">
        <v>382</v>
      </c>
      <c r="S137" s="34"/>
      <c r="T137" s="34"/>
      <c r="U137" s="35">
        <v>90.26</v>
      </c>
      <c r="V137" s="38">
        <f t="shared" si="4"/>
        <v>90.26</v>
      </c>
      <c r="W137" s="39" t="str">
        <f t="shared" si="5"/>
        <v/>
      </c>
    </row>
    <row r="138" spans="13:23" x14ac:dyDescent="0.2">
      <c r="M138" s="15" t="s">
        <v>154</v>
      </c>
      <c r="N138" s="14" t="s">
        <v>378</v>
      </c>
      <c r="O138" s="14" t="s">
        <v>379</v>
      </c>
      <c r="P138" s="14" t="s">
        <v>380</v>
      </c>
      <c r="Q138" s="14" t="s">
        <v>381</v>
      </c>
      <c r="R138" s="15" t="s">
        <v>382</v>
      </c>
      <c r="S138" s="34"/>
      <c r="T138" s="34"/>
      <c r="U138" s="35">
        <v>49.63</v>
      </c>
      <c r="V138" s="38">
        <f t="shared" si="4"/>
        <v>49.63</v>
      </c>
      <c r="W138" s="39" t="str">
        <f t="shared" si="5"/>
        <v/>
      </c>
    </row>
    <row r="139" spans="13:23" x14ac:dyDescent="0.2">
      <c r="M139" s="15" t="s">
        <v>155</v>
      </c>
      <c r="N139" s="14" t="s">
        <v>378</v>
      </c>
      <c r="O139" s="14" t="s">
        <v>379</v>
      </c>
      <c r="P139" s="14" t="s">
        <v>380</v>
      </c>
      <c r="Q139" s="14" t="s">
        <v>381</v>
      </c>
      <c r="R139" s="15" t="s">
        <v>382</v>
      </c>
      <c r="S139" s="34"/>
      <c r="T139" s="34"/>
      <c r="U139" s="35">
        <v>10</v>
      </c>
      <c r="V139" s="38">
        <f t="shared" si="4"/>
        <v>10</v>
      </c>
      <c r="W139" s="39" t="str">
        <f t="shared" si="5"/>
        <v/>
      </c>
    </row>
    <row r="140" spans="13:23" x14ac:dyDescent="0.2">
      <c r="M140" s="15" t="s">
        <v>156</v>
      </c>
      <c r="N140" s="14" t="s">
        <v>378</v>
      </c>
      <c r="O140" s="14" t="s">
        <v>379</v>
      </c>
      <c r="P140" s="14" t="s">
        <v>380</v>
      </c>
      <c r="Q140" s="14" t="s">
        <v>381</v>
      </c>
      <c r="R140" s="15" t="s">
        <v>382</v>
      </c>
      <c r="S140" s="34"/>
      <c r="T140" s="34"/>
      <c r="U140" s="35">
        <v>389.3</v>
      </c>
      <c r="V140" s="38">
        <f t="shared" si="4"/>
        <v>389.3</v>
      </c>
      <c r="W140" s="39" t="str">
        <f t="shared" si="5"/>
        <v/>
      </c>
    </row>
    <row r="141" spans="13:23" x14ac:dyDescent="0.2">
      <c r="M141" s="15" t="s">
        <v>157</v>
      </c>
      <c r="N141" s="14" t="s">
        <v>378</v>
      </c>
      <c r="O141" s="14" t="s">
        <v>379</v>
      </c>
      <c r="P141" s="14" t="s">
        <v>380</v>
      </c>
      <c r="Q141" s="14" t="s">
        <v>381</v>
      </c>
      <c r="R141" s="15" t="s">
        <v>382</v>
      </c>
      <c r="S141" s="34"/>
      <c r="T141" s="34"/>
      <c r="U141" s="35">
        <v>10144.65</v>
      </c>
      <c r="V141" s="38">
        <f t="shared" si="4"/>
        <v>10144.65</v>
      </c>
      <c r="W141" s="39" t="str">
        <f t="shared" si="5"/>
        <v/>
      </c>
    </row>
    <row r="142" spans="13:23" x14ac:dyDescent="0.2">
      <c r="M142" s="15" t="s">
        <v>158</v>
      </c>
      <c r="N142" s="14" t="s">
        <v>378</v>
      </c>
      <c r="O142" s="14" t="s">
        <v>379</v>
      </c>
      <c r="P142" s="14" t="s">
        <v>380</v>
      </c>
      <c r="Q142" s="14" t="s">
        <v>381</v>
      </c>
      <c r="R142" s="15" t="s">
        <v>382</v>
      </c>
      <c r="S142" s="34"/>
      <c r="T142" s="34"/>
      <c r="U142" s="35">
        <v>64625.58</v>
      </c>
      <c r="V142" s="38">
        <f t="shared" si="4"/>
        <v>64625.58</v>
      </c>
      <c r="W142" s="39" t="str">
        <f t="shared" si="5"/>
        <v/>
      </c>
    </row>
    <row r="143" spans="13:23" x14ac:dyDescent="0.2">
      <c r="M143" s="15" t="s">
        <v>159</v>
      </c>
      <c r="N143" s="14" t="s">
        <v>378</v>
      </c>
      <c r="O143" s="14" t="s">
        <v>379</v>
      </c>
      <c r="P143" s="14" t="s">
        <v>380</v>
      </c>
      <c r="Q143" s="14" t="s">
        <v>381</v>
      </c>
      <c r="R143" s="15" t="s">
        <v>382</v>
      </c>
      <c r="S143" s="34"/>
      <c r="T143" s="34"/>
      <c r="U143" s="35">
        <v>930.21</v>
      </c>
      <c r="V143" s="38">
        <f t="shared" si="4"/>
        <v>930.21</v>
      </c>
      <c r="W143" s="39" t="str">
        <f t="shared" si="5"/>
        <v/>
      </c>
    </row>
    <row r="144" spans="13:23" x14ac:dyDescent="0.2">
      <c r="M144" s="15" t="s">
        <v>160</v>
      </c>
      <c r="N144" s="14" t="s">
        <v>378</v>
      </c>
      <c r="O144" s="14" t="s">
        <v>379</v>
      </c>
      <c r="P144" s="14" t="s">
        <v>380</v>
      </c>
      <c r="Q144" s="14" t="s">
        <v>381</v>
      </c>
      <c r="R144" s="15" t="s">
        <v>382</v>
      </c>
      <c r="S144" s="34"/>
      <c r="T144" s="34"/>
      <c r="U144" s="35">
        <v>661.48</v>
      </c>
      <c r="V144" s="38">
        <f t="shared" si="4"/>
        <v>661.48</v>
      </c>
      <c r="W144" s="39" t="str">
        <f t="shared" si="5"/>
        <v/>
      </c>
    </row>
    <row r="145" spans="13:23" x14ac:dyDescent="0.2">
      <c r="M145" s="15" t="s">
        <v>161</v>
      </c>
      <c r="N145" s="14" t="s">
        <v>378</v>
      </c>
      <c r="O145" s="14" t="s">
        <v>379</v>
      </c>
      <c r="P145" s="14" t="s">
        <v>380</v>
      </c>
      <c r="Q145" s="14" t="s">
        <v>381</v>
      </c>
      <c r="R145" s="15" t="s">
        <v>382</v>
      </c>
      <c r="S145" s="34"/>
      <c r="T145" s="34"/>
      <c r="U145" s="35">
        <v>1235.22</v>
      </c>
      <c r="V145" s="38">
        <f t="shared" si="4"/>
        <v>1235.22</v>
      </c>
      <c r="W145" s="39" t="str">
        <f t="shared" si="5"/>
        <v/>
      </c>
    </row>
    <row r="146" spans="13:23" x14ac:dyDescent="0.2">
      <c r="M146" s="15" t="s">
        <v>162</v>
      </c>
      <c r="N146" s="14" t="s">
        <v>378</v>
      </c>
      <c r="O146" s="14" t="s">
        <v>379</v>
      </c>
      <c r="P146" s="14" t="s">
        <v>380</v>
      </c>
      <c r="Q146" s="14" t="s">
        <v>381</v>
      </c>
      <c r="R146" s="15" t="s">
        <v>382</v>
      </c>
      <c r="S146" s="34"/>
      <c r="T146" s="34"/>
      <c r="U146" s="35">
        <v>10657.72</v>
      </c>
      <c r="V146" s="38">
        <f t="shared" si="4"/>
        <v>10657.72</v>
      </c>
      <c r="W146" s="39" t="str">
        <f t="shared" si="5"/>
        <v/>
      </c>
    </row>
    <row r="147" spans="13:23" x14ac:dyDescent="0.2">
      <c r="M147" s="15" t="s">
        <v>163</v>
      </c>
      <c r="N147" s="14" t="s">
        <v>378</v>
      </c>
      <c r="O147" s="14" t="s">
        <v>379</v>
      </c>
      <c r="P147" s="14" t="s">
        <v>380</v>
      </c>
      <c r="Q147" s="14" t="s">
        <v>381</v>
      </c>
      <c r="R147" s="15" t="s">
        <v>382</v>
      </c>
      <c r="S147" s="34"/>
      <c r="T147" s="34"/>
      <c r="U147" s="35">
        <v>258.58999999999997</v>
      </c>
      <c r="V147" s="38">
        <f t="shared" si="4"/>
        <v>258.58999999999997</v>
      </c>
      <c r="W147" s="39" t="str">
        <f t="shared" si="5"/>
        <v/>
      </c>
    </row>
    <row r="148" spans="13:23" x14ac:dyDescent="0.2">
      <c r="M148" s="15" t="s">
        <v>164</v>
      </c>
      <c r="N148" s="14" t="s">
        <v>378</v>
      </c>
      <c r="O148" s="14" t="s">
        <v>379</v>
      </c>
      <c r="P148" s="14" t="s">
        <v>380</v>
      </c>
      <c r="Q148" s="14" t="s">
        <v>381</v>
      </c>
      <c r="R148" s="15" t="s">
        <v>382</v>
      </c>
      <c r="S148" s="34"/>
      <c r="T148" s="34"/>
      <c r="U148" s="35">
        <v>608.9</v>
      </c>
      <c r="V148" s="38">
        <f t="shared" si="4"/>
        <v>608.9</v>
      </c>
      <c r="W148" s="39" t="str">
        <f t="shared" si="5"/>
        <v/>
      </c>
    </row>
    <row r="149" spans="13:23" x14ac:dyDescent="0.2">
      <c r="M149" s="15" t="s">
        <v>165</v>
      </c>
      <c r="N149" s="14" t="s">
        <v>378</v>
      </c>
      <c r="O149" s="14" t="s">
        <v>379</v>
      </c>
      <c r="P149" s="14" t="s">
        <v>380</v>
      </c>
      <c r="Q149" s="14" t="s">
        <v>381</v>
      </c>
      <c r="R149" s="15" t="s">
        <v>382</v>
      </c>
      <c r="S149" s="34"/>
      <c r="T149" s="34"/>
      <c r="U149" s="35">
        <v>385.01</v>
      </c>
      <c r="V149" s="38">
        <f t="shared" si="4"/>
        <v>385.01</v>
      </c>
      <c r="W149" s="39" t="str">
        <f t="shared" si="5"/>
        <v/>
      </c>
    </row>
    <row r="150" spans="13:23" x14ac:dyDescent="0.2">
      <c r="M150" s="15" t="s">
        <v>166</v>
      </c>
      <c r="N150" s="14" t="s">
        <v>378</v>
      </c>
      <c r="O150" s="14" t="s">
        <v>379</v>
      </c>
      <c r="P150" s="14" t="s">
        <v>380</v>
      </c>
      <c r="Q150" s="14" t="s">
        <v>381</v>
      </c>
      <c r="R150" s="15" t="s">
        <v>382</v>
      </c>
      <c r="S150" s="34"/>
      <c r="T150" s="34"/>
      <c r="U150" s="35">
        <v>35.049999999999997</v>
      </c>
      <c r="V150" s="38">
        <f t="shared" si="4"/>
        <v>35.049999999999997</v>
      </c>
      <c r="W150" s="39" t="str">
        <f t="shared" si="5"/>
        <v/>
      </c>
    </row>
    <row r="151" spans="13:23" x14ac:dyDescent="0.2">
      <c r="M151" s="15" t="s">
        <v>167</v>
      </c>
      <c r="N151" s="14" t="s">
        <v>378</v>
      </c>
      <c r="O151" s="14" t="s">
        <v>379</v>
      </c>
      <c r="P151" s="14" t="s">
        <v>380</v>
      </c>
      <c r="Q151" s="14" t="s">
        <v>381</v>
      </c>
      <c r="R151" s="15" t="s">
        <v>382</v>
      </c>
      <c r="S151" s="34"/>
      <c r="T151" s="34"/>
      <c r="U151" s="35">
        <v>36.44</v>
      </c>
      <c r="V151" s="38">
        <f t="shared" si="4"/>
        <v>36.44</v>
      </c>
      <c r="W151" s="39" t="str">
        <f t="shared" si="5"/>
        <v/>
      </c>
    </row>
    <row r="152" spans="13:23" x14ac:dyDescent="0.2">
      <c r="M152" s="15" t="s">
        <v>168</v>
      </c>
      <c r="N152" s="14" t="s">
        <v>378</v>
      </c>
      <c r="O152" s="14" t="s">
        <v>379</v>
      </c>
      <c r="P152" s="14" t="s">
        <v>380</v>
      </c>
      <c r="Q152" s="14" t="s">
        <v>381</v>
      </c>
      <c r="R152" s="15" t="s">
        <v>382</v>
      </c>
      <c r="S152" s="34"/>
      <c r="T152" s="34"/>
      <c r="U152" s="35">
        <v>37.450000000000003</v>
      </c>
      <c r="V152" s="38">
        <f t="shared" si="4"/>
        <v>37.450000000000003</v>
      </c>
      <c r="W152" s="39" t="str">
        <f t="shared" si="5"/>
        <v/>
      </c>
    </row>
    <row r="153" spans="13:23" x14ac:dyDescent="0.2">
      <c r="M153" s="15" t="s">
        <v>169</v>
      </c>
      <c r="N153" s="14" t="s">
        <v>378</v>
      </c>
      <c r="O153" s="14" t="s">
        <v>379</v>
      </c>
      <c r="P153" s="14" t="s">
        <v>380</v>
      </c>
      <c r="Q153" s="14" t="s">
        <v>381</v>
      </c>
      <c r="R153" s="15" t="s">
        <v>382</v>
      </c>
      <c r="S153" s="34"/>
      <c r="T153" s="34"/>
      <c r="U153" s="35">
        <v>220.68</v>
      </c>
      <c r="V153" s="38">
        <f t="shared" si="4"/>
        <v>220.68</v>
      </c>
      <c r="W153" s="39" t="str">
        <f t="shared" si="5"/>
        <v/>
      </c>
    </row>
    <row r="154" spans="13:23" x14ac:dyDescent="0.2">
      <c r="M154" s="15" t="s">
        <v>170</v>
      </c>
      <c r="N154" s="14" t="s">
        <v>378</v>
      </c>
      <c r="O154" s="14" t="s">
        <v>379</v>
      </c>
      <c r="P154" s="14" t="s">
        <v>380</v>
      </c>
      <c r="Q154" s="14" t="s">
        <v>381</v>
      </c>
      <c r="R154" s="15" t="s">
        <v>382</v>
      </c>
      <c r="S154" s="34"/>
      <c r="T154" s="34"/>
      <c r="U154" s="35">
        <v>1538.43</v>
      </c>
      <c r="V154" s="38">
        <f t="shared" si="4"/>
        <v>1538.43</v>
      </c>
      <c r="W154" s="39" t="str">
        <f t="shared" si="5"/>
        <v/>
      </c>
    </row>
    <row r="155" spans="13:23" x14ac:dyDescent="0.2">
      <c r="M155" s="15" t="s">
        <v>171</v>
      </c>
      <c r="N155" s="14" t="s">
        <v>378</v>
      </c>
      <c r="O155" s="14" t="s">
        <v>379</v>
      </c>
      <c r="P155" s="14" t="s">
        <v>380</v>
      </c>
      <c r="Q155" s="14" t="s">
        <v>381</v>
      </c>
      <c r="R155" s="15" t="s">
        <v>382</v>
      </c>
      <c r="S155" s="34"/>
      <c r="T155" s="34"/>
      <c r="U155" s="35">
        <v>209.3</v>
      </c>
      <c r="V155" s="38">
        <f t="shared" si="4"/>
        <v>209.3</v>
      </c>
      <c r="W155" s="39" t="str">
        <f t="shared" si="5"/>
        <v/>
      </c>
    </row>
    <row r="156" spans="13:23" x14ac:dyDescent="0.2">
      <c r="M156" s="15" t="s">
        <v>172</v>
      </c>
      <c r="N156" s="14" t="s">
        <v>378</v>
      </c>
      <c r="O156" s="14" t="s">
        <v>379</v>
      </c>
      <c r="P156" s="14" t="s">
        <v>380</v>
      </c>
      <c r="Q156" s="14" t="s">
        <v>381</v>
      </c>
      <c r="R156" s="15" t="s">
        <v>382</v>
      </c>
      <c r="S156" s="34"/>
      <c r="T156" s="34"/>
      <c r="U156" s="35">
        <v>123.26</v>
      </c>
      <c r="V156" s="38">
        <f t="shared" si="4"/>
        <v>123.26</v>
      </c>
      <c r="W156" s="39" t="str">
        <f t="shared" si="5"/>
        <v/>
      </c>
    </row>
    <row r="157" spans="13:23" x14ac:dyDescent="0.2">
      <c r="M157" s="15" t="s">
        <v>173</v>
      </c>
      <c r="N157" s="14" t="s">
        <v>378</v>
      </c>
      <c r="O157" s="14" t="s">
        <v>379</v>
      </c>
      <c r="P157" s="14" t="s">
        <v>380</v>
      </c>
      <c r="Q157" s="14" t="s">
        <v>381</v>
      </c>
      <c r="R157" s="15" t="s">
        <v>382</v>
      </c>
      <c r="S157" s="34"/>
      <c r="T157" s="34"/>
      <c r="U157" s="35">
        <v>304.29000000000002</v>
      </c>
      <c r="V157" s="38">
        <f t="shared" si="4"/>
        <v>304.29000000000002</v>
      </c>
      <c r="W157" s="39" t="str">
        <f t="shared" si="5"/>
        <v/>
      </c>
    </row>
    <row r="158" spans="13:23" x14ac:dyDescent="0.2">
      <c r="M158" s="15" t="s">
        <v>174</v>
      </c>
      <c r="N158" s="14" t="s">
        <v>378</v>
      </c>
      <c r="O158" s="14" t="s">
        <v>379</v>
      </c>
      <c r="P158" s="14" t="s">
        <v>380</v>
      </c>
      <c r="Q158" s="14" t="s">
        <v>381</v>
      </c>
      <c r="R158" s="15" t="s">
        <v>382</v>
      </c>
      <c r="S158" s="34"/>
      <c r="T158" s="34"/>
      <c r="U158" s="35">
        <v>3383.25</v>
      </c>
      <c r="V158" s="38">
        <f t="shared" si="4"/>
        <v>3383.25</v>
      </c>
      <c r="W158" s="39" t="str">
        <f t="shared" si="5"/>
        <v/>
      </c>
    </row>
    <row r="159" spans="13:23" x14ac:dyDescent="0.2">
      <c r="M159" s="15" t="s">
        <v>175</v>
      </c>
      <c r="N159" s="14" t="s">
        <v>378</v>
      </c>
      <c r="O159" s="14" t="s">
        <v>379</v>
      </c>
      <c r="P159" s="14" t="s">
        <v>380</v>
      </c>
      <c r="Q159" s="14" t="s">
        <v>381</v>
      </c>
      <c r="R159" s="15" t="s">
        <v>382</v>
      </c>
      <c r="S159" s="34"/>
      <c r="T159" s="34"/>
      <c r="U159" s="35">
        <v>219.4</v>
      </c>
      <c r="V159" s="38">
        <f t="shared" si="4"/>
        <v>219.4</v>
      </c>
      <c r="W159" s="39" t="str">
        <f t="shared" si="5"/>
        <v/>
      </c>
    </row>
    <row r="160" spans="13:23" x14ac:dyDescent="0.2">
      <c r="M160" s="15" t="s">
        <v>176</v>
      </c>
      <c r="N160" s="14" t="s">
        <v>378</v>
      </c>
      <c r="O160" s="14" t="s">
        <v>379</v>
      </c>
      <c r="P160" s="14" t="s">
        <v>380</v>
      </c>
      <c r="Q160" s="14" t="s">
        <v>381</v>
      </c>
      <c r="R160" s="15" t="s">
        <v>382</v>
      </c>
      <c r="S160" s="34"/>
      <c r="T160" s="34"/>
      <c r="U160" s="35">
        <v>199035.55</v>
      </c>
      <c r="V160" s="38">
        <f t="shared" si="4"/>
        <v>199035.55</v>
      </c>
      <c r="W160" s="39" t="str">
        <f t="shared" si="5"/>
        <v/>
      </c>
    </row>
    <row r="161" spans="13:23" x14ac:dyDescent="0.2">
      <c r="M161" s="15" t="s">
        <v>177</v>
      </c>
      <c r="N161" s="14" t="s">
        <v>378</v>
      </c>
      <c r="O161" s="14" t="s">
        <v>379</v>
      </c>
      <c r="P161" s="14" t="s">
        <v>380</v>
      </c>
      <c r="Q161" s="14" t="s">
        <v>381</v>
      </c>
      <c r="R161" s="15" t="s">
        <v>382</v>
      </c>
      <c r="S161" s="34"/>
      <c r="T161" s="34"/>
      <c r="U161" s="35">
        <v>376.09</v>
      </c>
      <c r="V161" s="38">
        <f t="shared" si="4"/>
        <v>376.09</v>
      </c>
      <c r="W161" s="39" t="str">
        <f t="shared" si="5"/>
        <v/>
      </c>
    </row>
    <row r="162" spans="13:23" x14ac:dyDescent="0.2">
      <c r="M162" s="15" t="s">
        <v>178</v>
      </c>
      <c r="N162" s="14" t="s">
        <v>378</v>
      </c>
      <c r="O162" s="14" t="s">
        <v>379</v>
      </c>
      <c r="P162" s="14" t="s">
        <v>380</v>
      </c>
      <c r="Q162" s="14" t="s">
        <v>381</v>
      </c>
      <c r="R162" s="15" t="s">
        <v>382</v>
      </c>
      <c r="S162" s="34"/>
      <c r="T162" s="34"/>
      <c r="U162" s="35">
        <v>1322.52</v>
      </c>
      <c r="V162" s="38">
        <f t="shared" si="4"/>
        <v>1322.52</v>
      </c>
      <c r="W162" s="39" t="str">
        <f t="shared" si="5"/>
        <v/>
      </c>
    </row>
    <row r="163" spans="13:23" x14ac:dyDescent="0.2">
      <c r="M163" s="15" t="s">
        <v>179</v>
      </c>
      <c r="N163" s="14" t="s">
        <v>378</v>
      </c>
      <c r="O163" s="14" t="s">
        <v>379</v>
      </c>
      <c r="P163" s="14" t="s">
        <v>380</v>
      </c>
      <c r="Q163" s="14" t="s">
        <v>381</v>
      </c>
      <c r="R163" s="15" t="s">
        <v>382</v>
      </c>
      <c r="S163" s="34"/>
      <c r="T163" s="34"/>
      <c r="U163" s="35">
        <v>255.01</v>
      </c>
      <c r="V163" s="38">
        <f t="shared" si="4"/>
        <v>255.01</v>
      </c>
      <c r="W163" s="39" t="str">
        <f t="shared" si="5"/>
        <v/>
      </c>
    </row>
    <row r="164" spans="13:23" x14ac:dyDescent="0.2">
      <c r="M164" s="15" t="s">
        <v>180</v>
      </c>
      <c r="N164" s="14" t="s">
        <v>378</v>
      </c>
      <c r="O164" s="14" t="s">
        <v>379</v>
      </c>
      <c r="P164" s="14" t="s">
        <v>380</v>
      </c>
      <c r="Q164" s="14" t="s">
        <v>381</v>
      </c>
      <c r="R164" s="15" t="s">
        <v>382</v>
      </c>
      <c r="S164" s="34"/>
      <c r="T164" s="34"/>
      <c r="U164" s="35">
        <v>1290.08</v>
      </c>
      <c r="V164" s="38">
        <f t="shared" si="4"/>
        <v>1290.08</v>
      </c>
      <c r="W164" s="39" t="str">
        <f t="shared" si="5"/>
        <v/>
      </c>
    </row>
    <row r="165" spans="13:23" x14ac:dyDescent="0.2">
      <c r="M165" s="15" t="s">
        <v>181</v>
      </c>
      <c r="N165" s="14" t="s">
        <v>378</v>
      </c>
      <c r="O165" s="14" t="s">
        <v>379</v>
      </c>
      <c r="P165" s="14" t="s">
        <v>380</v>
      </c>
      <c r="Q165" s="14" t="s">
        <v>381</v>
      </c>
      <c r="R165" s="15" t="s">
        <v>382</v>
      </c>
      <c r="S165" s="34"/>
      <c r="T165" s="34"/>
      <c r="U165" s="35">
        <v>538.34</v>
      </c>
      <c r="V165" s="38">
        <f t="shared" si="4"/>
        <v>538.34</v>
      </c>
      <c r="W165" s="39" t="str">
        <f t="shared" si="5"/>
        <v/>
      </c>
    </row>
    <row r="166" spans="13:23" x14ac:dyDescent="0.2">
      <c r="M166" s="15" t="s">
        <v>182</v>
      </c>
      <c r="N166" s="14" t="s">
        <v>378</v>
      </c>
      <c r="O166" s="14" t="s">
        <v>379</v>
      </c>
      <c r="P166" s="14" t="s">
        <v>380</v>
      </c>
      <c r="Q166" s="14" t="s">
        <v>381</v>
      </c>
      <c r="R166" s="15" t="s">
        <v>382</v>
      </c>
      <c r="S166" s="34"/>
      <c r="T166" s="34"/>
      <c r="U166" s="35">
        <v>76.400000000000006</v>
      </c>
      <c r="V166" s="38">
        <f t="shared" si="4"/>
        <v>76.400000000000006</v>
      </c>
      <c r="W166" s="39" t="str">
        <f t="shared" si="5"/>
        <v/>
      </c>
    </row>
    <row r="167" spans="13:23" x14ac:dyDescent="0.2">
      <c r="M167" s="15" t="s">
        <v>183</v>
      </c>
      <c r="N167" s="14" t="s">
        <v>378</v>
      </c>
      <c r="O167" s="14" t="s">
        <v>379</v>
      </c>
      <c r="P167" s="14" t="s">
        <v>380</v>
      </c>
      <c r="Q167" s="14" t="s">
        <v>381</v>
      </c>
      <c r="R167" s="15" t="s">
        <v>382</v>
      </c>
      <c r="S167" s="34"/>
      <c r="T167" s="34"/>
      <c r="U167" s="35">
        <v>1479.74</v>
      </c>
      <c r="V167" s="38">
        <f t="shared" si="4"/>
        <v>1479.74</v>
      </c>
      <c r="W167" s="39" t="str">
        <f t="shared" si="5"/>
        <v/>
      </c>
    </row>
    <row r="168" spans="13:23" x14ac:dyDescent="0.2">
      <c r="M168" s="15" t="s">
        <v>184</v>
      </c>
      <c r="N168" s="14" t="s">
        <v>378</v>
      </c>
      <c r="O168" s="14" t="s">
        <v>379</v>
      </c>
      <c r="P168" s="14" t="s">
        <v>380</v>
      </c>
      <c r="Q168" s="14" t="s">
        <v>381</v>
      </c>
      <c r="R168" s="15" t="s">
        <v>382</v>
      </c>
      <c r="S168" s="34"/>
      <c r="T168" s="34"/>
      <c r="U168" s="35">
        <v>394.08</v>
      </c>
      <c r="V168" s="38">
        <f t="shared" si="4"/>
        <v>394.08</v>
      </c>
      <c r="W168" s="39" t="str">
        <f t="shared" si="5"/>
        <v/>
      </c>
    </row>
    <row r="169" spans="13:23" x14ac:dyDescent="0.2">
      <c r="M169" s="15" t="s">
        <v>185</v>
      </c>
      <c r="N169" s="14" t="s">
        <v>378</v>
      </c>
      <c r="O169" s="14" t="s">
        <v>379</v>
      </c>
      <c r="P169" s="14" t="s">
        <v>380</v>
      </c>
      <c r="Q169" s="14" t="s">
        <v>381</v>
      </c>
      <c r="R169" s="15" t="s">
        <v>382</v>
      </c>
      <c r="S169" s="34"/>
      <c r="T169" s="34"/>
      <c r="U169" s="35">
        <v>10</v>
      </c>
      <c r="V169" s="38">
        <f t="shared" si="4"/>
        <v>10</v>
      </c>
      <c r="W169" s="39" t="str">
        <f t="shared" si="5"/>
        <v/>
      </c>
    </row>
    <row r="170" spans="13:23" x14ac:dyDescent="0.2">
      <c r="M170" s="15" t="s">
        <v>186</v>
      </c>
      <c r="N170" s="14" t="s">
        <v>378</v>
      </c>
      <c r="O170" s="14" t="s">
        <v>379</v>
      </c>
      <c r="P170" s="14" t="s">
        <v>380</v>
      </c>
      <c r="Q170" s="14" t="s">
        <v>381</v>
      </c>
      <c r="R170" s="15" t="s">
        <v>382</v>
      </c>
      <c r="S170" s="34">
        <v>6329.88</v>
      </c>
      <c r="T170" s="34">
        <v>20614.34</v>
      </c>
      <c r="U170" s="35">
        <v>7298.6</v>
      </c>
      <c r="V170" s="38">
        <f t="shared" si="4"/>
        <v>-13315.74</v>
      </c>
      <c r="W170" s="39">
        <f t="shared" si="5"/>
        <v>-0.64594549231263287</v>
      </c>
    </row>
    <row r="171" spans="13:23" x14ac:dyDescent="0.2">
      <c r="M171" s="15" t="s">
        <v>187</v>
      </c>
      <c r="N171" s="14" t="s">
        <v>378</v>
      </c>
      <c r="O171" s="14" t="s">
        <v>379</v>
      </c>
      <c r="P171" s="14" t="s">
        <v>380</v>
      </c>
      <c r="Q171" s="14" t="s">
        <v>381</v>
      </c>
      <c r="R171" s="15" t="s">
        <v>382</v>
      </c>
      <c r="S171" s="34">
        <v>4656.75</v>
      </c>
      <c r="T171" s="34">
        <v>4118.3599999999997</v>
      </c>
      <c r="U171" s="35">
        <v>307.48</v>
      </c>
      <c r="V171" s="38">
        <f t="shared" si="4"/>
        <v>-3810.8799999999997</v>
      </c>
      <c r="W171" s="39">
        <f t="shared" si="5"/>
        <v>-0.92533921269631603</v>
      </c>
    </row>
    <row r="172" spans="13:23" x14ac:dyDescent="0.2">
      <c r="M172" s="15" t="s">
        <v>188</v>
      </c>
      <c r="N172" s="14" t="s">
        <v>378</v>
      </c>
      <c r="O172" s="14" t="s">
        <v>379</v>
      </c>
      <c r="P172" s="14" t="s">
        <v>380</v>
      </c>
      <c r="Q172" s="14" t="s">
        <v>381</v>
      </c>
      <c r="R172" s="15" t="s">
        <v>382</v>
      </c>
      <c r="S172" s="34">
        <v>108.98</v>
      </c>
      <c r="T172" s="34"/>
      <c r="U172" s="35"/>
      <c r="V172" s="38">
        <f t="shared" si="4"/>
        <v>0</v>
      </c>
      <c r="W172" s="39" t="str">
        <f t="shared" si="5"/>
        <v/>
      </c>
    </row>
    <row r="173" spans="13:23" x14ac:dyDescent="0.2">
      <c r="M173" s="15" t="s">
        <v>189</v>
      </c>
      <c r="N173" s="14" t="s">
        <v>378</v>
      </c>
      <c r="O173" s="14" t="s">
        <v>379</v>
      </c>
      <c r="P173" s="14" t="s">
        <v>380</v>
      </c>
      <c r="Q173" s="14" t="s">
        <v>381</v>
      </c>
      <c r="R173" s="15" t="s">
        <v>382</v>
      </c>
      <c r="S173" s="34">
        <v>2093.33</v>
      </c>
      <c r="T173" s="34"/>
      <c r="U173" s="35"/>
      <c r="V173" s="38">
        <f t="shared" si="4"/>
        <v>0</v>
      </c>
      <c r="W173" s="39" t="str">
        <f t="shared" si="5"/>
        <v/>
      </c>
    </row>
    <row r="174" spans="13:23" x14ac:dyDescent="0.2">
      <c r="M174" s="15" t="s">
        <v>190</v>
      </c>
      <c r="N174" s="14" t="s">
        <v>378</v>
      </c>
      <c r="O174" s="14" t="s">
        <v>379</v>
      </c>
      <c r="P174" s="14" t="s">
        <v>380</v>
      </c>
      <c r="Q174" s="14" t="s">
        <v>381</v>
      </c>
      <c r="R174" s="15" t="s">
        <v>382</v>
      </c>
      <c r="S174" s="34">
        <v>660.98</v>
      </c>
      <c r="T174" s="34">
        <v>209.7</v>
      </c>
      <c r="U174" s="35">
        <v>5693.08</v>
      </c>
      <c r="V174" s="38">
        <f t="shared" si="4"/>
        <v>5483.38</v>
      </c>
      <c r="W174" s="39" t="str">
        <f t="shared" si="5"/>
        <v>&gt;100%</v>
      </c>
    </row>
    <row r="175" spans="13:23" x14ac:dyDescent="0.2">
      <c r="M175" s="15" t="s">
        <v>191</v>
      </c>
      <c r="N175" s="14" t="s">
        <v>378</v>
      </c>
      <c r="O175" s="14" t="s">
        <v>379</v>
      </c>
      <c r="P175" s="14" t="s">
        <v>380</v>
      </c>
      <c r="Q175" s="14" t="s">
        <v>381</v>
      </c>
      <c r="R175" s="15" t="s">
        <v>382</v>
      </c>
      <c r="S175" s="34">
        <v>2754.54</v>
      </c>
      <c r="T175" s="34">
        <v>696.77</v>
      </c>
      <c r="U175" s="35">
        <v>10</v>
      </c>
      <c r="V175" s="38">
        <f t="shared" si="4"/>
        <v>-686.77</v>
      </c>
      <c r="W175" s="39">
        <f t="shared" si="5"/>
        <v>-0.98564806177074216</v>
      </c>
    </row>
    <row r="176" spans="13:23" x14ac:dyDescent="0.2">
      <c r="M176" s="15" t="s">
        <v>192</v>
      </c>
      <c r="N176" s="14" t="s">
        <v>378</v>
      </c>
      <c r="O176" s="14" t="s">
        <v>379</v>
      </c>
      <c r="P176" s="14" t="s">
        <v>380</v>
      </c>
      <c r="Q176" s="14" t="s">
        <v>381</v>
      </c>
      <c r="R176" s="15" t="s">
        <v>382</v>
      </c>
      <c r="S176" s="34">
        <v>10</v>
      </c>
      <c r="T176" s="34">
        <v>20</v>
      </c>
      <c r="U176" s="35"/>
      <c r="V176" s="38">
        <f t="shared" si="4"/>
        <v>-20</v>
      </c>
      <c r="W176" s="39">
        <f t="shared" si="5"/>
        <v>-1</v>
      </c>
    </row>
    <row r="177" spans="13:23" x14ac:dyDescent="0.2">
      <c r="M177" s="15" t="s">
        <v>193</v>
      </c>
      <c r="N177" s="14" t="s">
        <v>378</v>
      </c>
      <c r="O177" s="14" t="s">
        <v>379</v>
      </c>
      <c r="P177" s="14" t="s">
        <v>380</v>
      </c>
      <c r="Q177" s="14" t="s">
        <v>381</v>
      </c>
      <c r="R177" s="15" t="s">
        <v>382</v>
      </c>
      <c r="S177" s="34">
        <v>80</v>
      </c>
      <c r="T177" s="34">
        <v>80</v>
      </c>
      <c r="U177" s="35">
        <v>257.19</v>
      </c>
      <c r="V177" s="38">
        <f t="shared" si="4"/>
        <v>177.19</v>
      </c>
      <c r="W177" s="39" t="str">
        <f t="shared" si="5"/>
        <v>&gt;100%</v>
      </c>
    </row>
    <row r="178" spans="13:23" x14ac:dyDescent="0.2">
      <c r="M178" s="15" t="s">
        <v>194</v>
      </c>
      <c r="N178" s="14" t="s">
        <v>378</v>
      </c>
      <c r="O178" s="14" t="s">
        <v>379</v>
      </c>
      <c r="P178" s="14" t="s">
        <v>380</v>
      </c>
      <c r="Q178" s="14" t="s">
        <v>381</v>
      </c>
      <c r="R178" s="15" t="s">
        <v>382</v>
      </c>
      <c r="S178" s="34">
        <v>2174.46</v>
      </c>
      <c r="T178" s="34">
        <v>2182.83</v>
      </c>
      <c r="U178" s="35">
        <v>2039.07</v>
      </c>
      <c r="V178" s="38">
        <f t="shared" si="4"/>
        <v>-143.76</v>
      </c>
      <c r="W178" s="39">
        <f t="shared" si="5"/>
        <v>-6.5859457676502517E-2</v>
      </c>
    </row>
    <row r="179" spans="13:23" x14ac:dyDescent="0.2">
      <c r="M179" s="15" t="s">
        <v>195</v>
      </c>
      <c r="N179" s="14" t="s">
        <v>378</v>
      </c>
      <c r="O179" s="14" t="s">
        <v>379</v>
      </c>
      <c r="P179" s="14" t="s">
        <v>380</v>
      </c>
      <c r="Q179" s="14" t="s">
        <v>381</v>
      </c>
      <c r="R179" s="15" t="s">
        <v>382</v>
      </c>
      <c r="S179" s="34"/>
      <c r="T179" s="34"/>
      <c r="U179" s="35">
        <v>289.25</v>
      </c>
      <c r="V179" s="38">
        <f t="shared" si="4"/>
        <v>289.25</v>
      </c>
      <c r="W179" s="39" t="str">
        <f t="shared" si="5"/>
        <v/>
      </c>
    </row>
    <row r="180" spans="13:23" x14ac:dyDescent="0.2">
      <c r="M180" s="15" t="s">
        <v>196</v>
      </c>
      <c r="N180" s="14" t="s">
        <v>378</v>
      </c>
      <c r="O180" s="14" t="s">
        <v>379</v>
      </c>
      <c r="P180" s="14" t="s">
        <v>380</v>
      </c>
      <c r="Q180" s="14" t="s">
        <v>381</v>
      </c>
      <c r="R180" s="15" t="s">
        <v>382</v>
      </c>
      <c r="S180" s="34">
        <v>384.9</v>
      </c>
      <c r="T180" s="34">
        <v>432.64</v>
      </c>
      <c r="U180" s="35">
        <v>117.1</v>
      </c>
      <c r="V180" s="38">
        <f t="shared" si="4"/>
        <v>-315.53999999999996</v>
      </c>
      <c r="W180" s="39">
        <f t="shared" si="5"/>
        <v>-0.72933616863905315</v>
      </c>
    </row>
    <row r="181" spans="13:23" x14ac:dyDescent="0.2">
      <c r="M181" s="15" t="s">
        <v>197</v>
      </c>
      <c r="N181" s="14" t="s">
        <v>378</v>
      </c>
      <c r="O181" s="14" t="s">
        <v>379</v>
      </c>
      <c r="P181" s="14" t="s">
        <v>380</v>
      </c>
      <c r="Q181" s="14" t="s">
        <v>381</v>
      </c>
      <c r="R181" s="15" t="s">
        <v>382</v>
      </c>
      <c r="S181" s="34">
        <v>3718.57</v>
      </c>
      <c r="T181" s="34">
        <v>3658.4</v>
      </c>
      <c r="U181" s="35">
        <v>6332.38</v>
      </c>
      <c r="V181" s="38">
        <f t="shared" si="4"/>
        <v>2673.98</v>
      </c>
      <c r="W181" s="39">
        <f t="shared" si="5"/>
        <v>0.73091515416575548</v>
      </c>
    </row>
    <row r="182" spans="13:23" x14ac:dyDescent="0.2">
      <c r="M182" s="15" t="s">
        <v>198</v>
      </c>
      <c r="N182" s="14" t="s">
        <v>378</v>
      </c>
      <c r="O182" s="14" t="s">
        <v>379</v>
      </c>
      <c r="P182" s="14" t="s">
        <v>380</v>
      </c>
      <c r="Q182" s="14" t="s">
        <v>381</v>
      </c>
      <c r="R182" s="15" t="s">
        <v>382</v>
      </c>
      <c r="S182" s="34">
        <v>74.8</v>
      </c>
      <c r="T182" s="34">
        <v>6676.79</v>
      </c>
      <c r="U182" s="35">
        <v>2835.02</v>
      </c>
      <c r="V182" s="38">
        <f t="shared" si="4"/>
        <v>-3841.77</v>
      </c>
      <c r="W182" s="39">
        <f t="shared" si="5"/>
        <v>-0.57539176760089805</v>
      </c>
    </row>
    <row r="183" spans="13:23" x14ac:dyDescent="0.2">
      <c r="M183" s="15" t="s">
        <v>199</v>
      </c>
      <c r="N183" s="14" t="s">
        <v>378</v>
      </c>
      <c r="O183" s="14" t="s">
        <v>379</v>
      </c>
      <c r="P183" s="14" t="s">
        <v>380</v>
      </c>
      <c r="Q183" s="14" t="s">
        <v>381</v>
      </c>
      <c r="R183" s="15" t="s">
        <v>382</v>
      </c>
      <c r="S183" s="34">
        <v>663.67</v>
      </c>
      <c r="T183" s="34">
        <v>84.4</v>
      </c>
      <c r="U183" s="35"/>
      <c r="V183" s="38">
        <f t="shared" si="4"/>
        <v>-84.4</v>
      </c>
      <c r="W183" s="39">
        <f t="shared" si="5"/>
        <v>-1</v>
      </c>
    </row>
    <row r="184" spans="13:23" x14ac:dyDescent="0.2">
      <c r="M184" s="15" t="s">
        <v>200</v>
      </c>
      <c r="N184" s="14" t="s">
        <v>378</v>
      </c>
      <c r="O184" s="14" t="s">
        <v>379</v>
      </c>
      <c r="P184" s="14" t="s">
        <v>380</v>
      </c>
      <c r="Q184" s="14" t="s">
        <v>381</v>
      </c>
      <c r="R184" s="15" t="s">
        <v>382</v>
      </c>
      <c r="S184" s="34">
        <v>30479.09</v>
      </c>
      <c r="T184" s="34">
        <v>42365.78</v>
      </c>
      <c r="U184" s="35">
        <v>55749.13</v>
      </c>
      <c r="V184" s="38">
        <f t="shared" si="4"/>
        <v>13383.349999999999</v>
      </c>
      <c r="W184" s="39">
        <f t="shared" si="5"/>
        <v>0.31590000231318766</v>
      </c>
    </row>
    <row r="185" spans="13:23" x14ac:dyDescent="0.2">
      <c r="M185" s="15" t="s">
        <v>201</v>
      </c>
      <c r="N185" s="14" t="s">
        <v>378</v>
      </c>
      <c r="O185" s="14" t="s">
        <v>379</v>
      </c>
      <c r="P185" s="14" t="s">
        <v>380</v>
      </c>
      <c r="Q185" s="14" t="s">
        <v>381</v>
      </c>
      <c r="R185" s="15" t="s">
        <v>382</v>
      </c>
      <c r="S185" s="34">
        <v>14587.74</v>
      </c>
      <c r="T185" s="34">
        <v>2665.47</v>
      </c>
      <c r="U185" s="35">
        <v>2770.77</v>
      </c>
      <c r="V185" s="38">
        <f t="shared" si="4"/>
        <v>105.30000000000018</v>
      </c>
      <c r="W185" s="39">
        <f t="shared" si="5"/>
        <v>3.9505227971052083E-2</v>
      </c>
    </row>
    <row r="186" spans="13:23" x14ac:dyDescent="0.2">
      <c r="M186" s="15" t="s">
        <v>202</v>
      </c>
      <c r="N186" s="14" t="s">
        <v>378</v>
      </c>
      <c r="O186" s="14" t="s">
        <v>379</v>
      </c>
      <c r="P186" s="14" t="s">
        <v>380</v>
      </c>
      <c r="Q186" s="14" t="s">
        <v>381</v>
      </c>
      <c r="R186" s="15" t="s">
        <v>382</v>
      </c>
      <c r="S186" s="34">
        <v>50</v>
      </c>
      <c r="T186" s="34">
        <v>40</v>
      </c>
      <c r="U186" s="35">
        <v>9417.17</v>
      </c>
      <c r="V186" s="38">
        <f t="shared" si="4"/>
        <v>9377.17</v>
      </c>
      <c r="W186" s="39" t="str">
        <f t="shared" si="5"/>
        <v>&gt;100%</v>
      </c>
    </row>
    <row r="187" spans="13:23" x14ac:dyDescent="0.2">
      <c r="M187" s="15" t="s">
        <v>203</v>
      </c>
      <c r="N187" s="14" t="s">
        <v>378</v>
      </c>
      <c r="O187" s="14" t="s">
        <v>379</v>
      </c>
      <c r="P187" s="14" t="s">
        <v>380</v>
      </c>
      <c r="Q187" s="14" t="s">
        <v>381</v>
      </c>
      <c r="R187" s="15" t="s">
        <v>382</v>
      </c>
      <c r="S187" s="34">
        <v>380.86</v>
      </c>
      <c r="T187" s="34">
        <v>260.35000000000002</v>
      </c>
      <c r="U187" s="35"/>
      <c r="V187" s="38">
        <f t="shared" si="4"/>
        <v>-260.35000000000002</v>
      </c>
      <c r="W187" s="39">
        <f t="shared" si="5"/>
        <v>-1</v>
      </c>
    </row>
    <row r="188" spans="13:23" x14ac:dyDescent="0.2">
      <c r="M188" s="15" t="s">
        <v>204</v>
      </c>
      <c r="N188" s="14" t="s">
        <v>378</v>
      </c>
      <c r="O188" s="14" t="s">
        <v>379</v>
      </c>
      <c r="P188" s="14" t="s">
        <v>380</v>
      </c>
      <c r="Q188" s="14" t="s">
        <v>381</v>
      </c>
      <c r="R188" s="15" t="s">
        <v>382</v>
      </c>
      <c r="S188" s="34">
        <v>34069.96</v>
      </c>
      <c r="T188" s="34"/>
      <c r="U188" s="35">
        <v>0</v>
      </c>
      <c r="V188" s="38">
        <f t="shared" si="4"/>
        <v>0</v>
      </c>
      <c r="W188" s="39" t="str">
        <f t="shared" si="5"/>
        <v/>
      </c>
    </row>
    <row r="189" spans="13:23" x14ac:dyDescent="0.2">
      <c r="M189" s="15" t="s">
        <v>205</v>
      </c>
      <c r="N189" s="14" t="s">
        <v>378</v>
      </c>
      <c r="O189" s="14" t="s">
        <v>379</v>
      </c>
      <c r="P189" s="14" t="s">
        <v>380</v>
      </c>
      <c r="Q189" s="14" t="s">
        <v>381</v>
      </c>
      <c r="R189" s="15" t="s">
        <v>382</v>
      </c>
      <c r="S189" s="34">
        <v>1070.0899999999999</v>
      </c>
      <c r="T189" s="34">
        <v>33110.36</v>
      </c>
      <c r="U189" s="35"/>
      <c r="V189" s="38">
        <f t="shared" si="4"/>
        <v>-33110.36</v>
      </c>
      <c r="W189" s="39">
        <f t="shared" si="5"/>
        <v>-1</v>
      </c>
    </row>
    <row r="190" spans="13:23" x14ac:dyDescent="0.2">
      <c r="M190" s="15" t="s">
        <v>206</v>
      </c>
      <c r="N190" s="14" t="s">
        <v>378</v>
      </c>
      <c r="O190" s="14" t="s">
        <v>379</v>
      </c>
      <c r="P190" s="14" t="s">
        <v>380</v>
      </c>
      <c r="Q190" s="14" t="s">
        <v>381</v>
      </c>
      <c r="R190" s="15" t="s">
        <v>382</v>
      </c>
      <c r="S190" s="34">
        <v>461.23</v>
      </c>
      <c r="T190" s="34"/>
      <c r="U190" s="35"/>
      <c r="V190" s="38">
        <f t="shared" si="4"/>
        <v>0</v>
      </c>
      <c r="W190" s="39" t="str">
        <f t="shared" si="5"/>
        <v/>
      </c>
    </row>
    <row r="191" spans="13:23" x14ac:dyDescent="0.2">
      <c r="M191" s="15" t="s">
        <v>207</v>
      </c>
      <c r="N191" s="14" t="s">
        <v>378</v>
      </c>
      <c r="O191" s="14" t="s">
        <v>379</v>
      </c>
      <c r="P191" s="14" t="s">
        <v>380</v>
      </c>
      <c r="Q191" s="14" t="s">
        <v>381</v>
      </c>
      <c r="R191" s="15" t="s">
        <v>382</v>
      </c>
      <c r="S191" s="34">
        <v>28990.13</v>
      </c>
      <c r="T191" s="34">
        <v>29282.59</v>
      </c>
      <c r="U191" s="35">
        <v>61997.43</v>
      </c>
      <c r="V191" s="38">
        <f t="shared" si="4"/>
        <v>32714.84</v>
      </c>
      <c r="W191" s="39" t="str">
        <f t="shared" si="5"/>
        <v>&gt;100%</v>
      </c>
    </row>
    <row r="192" spans="13:23" x14ac:dyDescent="0.2">
      <c r="M192" s="15" t="s">
        <v>208</v>
      </c>
      <c r="N192" s="14" t="s">
        <v>378</v>
      </c>
      <c r="O192" s="14" t="s">
        <v>379</v>
      </c>
      <c r="P192" s="14" t="s">
        <v>380</v>
      </c>
      <c r="Q192" s="14" t="s">
        <v>381</v>
      </c>
      <c r="R192" s="15" t="s">
        <v>382</v>
      </c>
      <c r="S192" s="34">
        <v>5600.63</v>
      </c>
      <c r="T192" s="34">
        <v>38401.5</v>
      </c>
      <c r="U192" s="35">
        <v>5562.08</v>
      </c>
      <c r="V192" s="38">
        <f t="shared" si="4"/>
        <v>-32839.42</v>
      </c>
      <c r="W192" s="39">
        <f t="shared" si="5"/>
        <v>-0.85515982448602268</v>
      </c>
    </row>
    <row r="193" spans="13:23" x14ac:dyDescent="0.2">
      <c r="M193" s="15" t="s">
        <v>209</v>
      </c>
      <c r="N193" s="14" t="s">
        <v>378</v>
      </c>
      <c r="O193" s="14" t="s">
        <v>379</v>
      </c>
      <c r="P193" s="14" t="s">
        <v>380</v>
      </c>
      <c r="Q193" s="14" t="s">
        <v>381</v>
      </c>
      <c r="R193" s="15" t="s">
        <v>382</v>
      </c>
      <c r="S193" s="34">
        <v>13045.49</v>
      </c>
      <c r="T193" s="34">
        <v>13231.94</v>
      </c>
      <c r="U193" s="35">
        <v>4816.6000000000004</v>
      </c>
      <c r="V193" s="38">
        <f t="shared" si="4"/>
        <v>-8415.34</v>
      </c>
      <c r="W193" s="39">
        <f t="shared" si="5"/>
        <v>-0.63598686209278454</v>
      </c>
    </row>
    <row r="194" spans="13:23" x14ac:dyDescent="0.2">
      <c r="M194" s="15" t="s">
        <v>210</v>
      </c>
      <c r="N194" s="14" t="s">
        <v>378</v>
      </c>
      <c r="O194" s="14" t="s">
        <v>379</v>
      </c>
      <c r="P194" s="14" t="s">
        <v>380</v>
      </c>
      <c r="Q194" s="14" t="s">
        <v>381</v>
      </c>
      <c r="R194" s="15" t="s">
        <v>382</v>
      </c>
      <c r="S194" s="34"/>
      <c r="T194" s="34">
        <v>10</v>
      </c>
      <c r="U194" s="35"/>
      <c r="V194" s="38">
        <f t="shared" si="4"/>
        <v>-10</v>
      </c>
      <c r="W194" s="39">
        <f t="shared" si="5"/>
        <v>-1</v>
      </c>
    </row>
    <row r="195" spans="13:23" x14ac:dyDescent="0.2">
      <c r="M195" s="15" t="s">
        <v>211</v>
      </c>
      <c r="N195" s="14" t="s">
        <v>378</v>
      </c>
      <c r="O195" s="14" t="s">
        <v>379</v>
      </c>
      <c r="P195" s="14" t="s">
        <v>380</v>
      </c>
      <c r="Q195" s="14" t="s">
        <v>381</v>
      </c>
      <c r="R195" s="15" t="s">
        <v>382</v>
      </c>
      <c r="S195" s="34">
        <v>56.75</v>
      </c>
      <c r="T195" s="34">
        <v>10</v>
      </c>
      <c r="U195" s="35">
        <v>20</v>
      </c>
      <c r="V195" s="38">
        <f t="shared" si="4"/>
        <v>10</v>
      </c>
      <c r="W195" s="39">
        <f t="shared" si="5"/>
        <v>1</v>
      </c>
    </row>
    <row r="196" spans="13:23" x14ac:dyDescent="0.2">
      <c r="M196" s="15" t="s">
        <v>212</v>
      </c>
      <c r="N196" s="14" t="s">
        <v>378</v>
      </c>
      <c r="O196" s="14" t="s">
        <v>379</v>
      </c>
      <c r="P196" s="14" t="s">
        <v>380</v>
      </c>
      <c r="Q196" s="14" t="s">
        <v>381</v>
      </c>
      <c r="R196" s="15" t="s">
        <v>382</v>
      </c>
      <c r="S196" s="34">
        <v>3757.05</v>
      </c>
      <c r="T196" s="34">
        <v>3667.03</v>
      </c>
      <c r="U196" s="35">
        <v>2531.4</v>
      </c>
      <c r="V196" s="38">
        <f t="shared" si="4"/>
        <v>-1135.6300000000001</v>
      </c>
      <c r="W196" s="39">
        <f t="shared" si="5"/>
        <v>-0.30968658560197221</v>
      </c>
    </row>
    <row r="197" spans="13:23" x14ac:dyDescent="0.2">
      <c r="M197" s="15" t="s">
        <v>213</v>
      </c>
      <c r="N197" s="14" t="s">
        <v>378</v>
      </c>
      <c r="O197" s="14" t="s">
        <v>379</v>
      </c>
      <c r="P197" s="14" t="s">
        <v>380</v>
      </c>
      <c r="Q197" s="14" t="s">
        <v>381</v>
      </c>
      <c r="R197" s="15" t="s">
        <v>382</v>
      </c>
      <c r="S197" s="34">
        <v>8956.14</v>
      </c>
      <c r="T197" s="34">
        <v>14300.62</v>
      </c>
      <c r="U197" s="35">
        <v>12154.25</v>
      </c>
      <c r="V197" s="38">
        <f t="shared" ref="V197:V260" si="6">+U197-T197</f>
        <v>-2146.3700000000008</v>
      </c>
      <c r="W197" s="39">
        <f t="shared" ref="W197:W260" si="7">IF(T197="","",IF(T197=0,"",IF(T197&lt;0,"",IF((V197/T197)&gt;1,"&gt;100%",IFERROR(V197/T197,"")))))</f>
        <v>-0.15008929682769004</v>
      </c>
    </row>
    <row r="198" spans="13:23" x14ac:dyDescent="0.2">
      <c r="M198" s="15" t="s">
        <v>214</v>
      </c>
      <c r="N198" s="14" t="s">
        <v>378</v>
      </c>
      <c r="O198" s="14" t="s">
        <v>379</v>
      </c>
      <c r="P198" s="14" t="s">
        <v>380</v>
      </c>
      <c r="Q198" s="14" t="s">
        <v>381</v>
      </c>
      <c r="R198" s="15" t="s">
        <v>382</v>
      </c>
      <c r="S198" s="34">
        <v>5193.67</v>
      </c>
      <c r="T198" s="34">
        <v>1559.53</v>
      </c>
      <c r="U198" s="35">
        <v>1806.52</v>
      </c>
      <c r="V198" s="38">
        <f t="shared" si="6"/>
        <v>246.99</v>
      </c>
      <c r="W198" s="39">
        <f t="shared" si="7"/>
        <v>0.1583746385128853</v>
      </c>
    </row>
    <row r="199" spans="13:23" x14ac:dyDescent="0.2">
      <c r="M199" s="15" t="s">
        <v>215</v>
      </c>
      <c r="N199" s="14" t="s">
        <v>378</v>
      </c>
      <c r="O199" s="14" t="s">
        <v>379</v>
      </c>
      <c r="P199" s="14" t="s">
        <v>380</v>
      </c>
      <c r="Q199" s="14" t="s">
        <v>381</v>
      </c>
      <c r="R199" s="15" t="s">
        <v>382</v>
      </c>
      <c r="S199" s="34">
        <v>558.66</v>
      </c>
      <c r="T199" s="34">
        <v>30034.13</v>
      </c>
      <c r="U199" s="35">
        <v>37890.19</v>
      </c>
      <c r="V199" s="38">
        <f t="shared" si="6"/>
        <v>7856.0600000000013</v>
      </c>
      <c r="W199" s="39">
        <f t="shared" si="7"/>
        <v>0.26157108596120482</v>
      </c>
    </row>
    <row r="200" spans="13:23" x14ac:dyDescent="0.2">
      <c r="M200" s="15" t="s">
        <v>216</v>
      </c>
      <c r="N200" s="14" t="s">
        <v>378</v>
      </c>
      <c r="O200" s="14" t="s">
        <v>379</v>
      </c>
      <c r="P200" s="14" t="s">
        <v>380</v>
      </c>
      <c r="Q200" s="14" t="s">
        <v>381</v>
      </c>
      <c r="R200" s="15" t="s">
        <v>382</v>
      </c>
      <c r="S200" s="34">
        <v>653.88</v>
      </c>
      <c r="T200" s="34">
        <v>2601.25</v>
      </c>
      <c r="U200" s="35">
        <v>60</v>
      </c>
      <c r="V200" s="38">
        <f t="shared" si="6"/>
        <v>-2541.25</v>
      </c>
      <c r="W200" s="39">
        <f t="shared" si="7"/>
        <v>-0.97693416626621821</v>
      </c>
    </row>
    <row r="201" spans="13:23" x14ac:dyDescent="0.2">
      <c r="M201" s="15" t="s">
        <v>217</v>
      </c>
      <c r="N201" s="14" t="s">
        <v>378</v>
      </c>
      <c r="O201" s="14" t="s">
        <v>379</v>
      </c>
      <c r="P201" s="14" t="s">
        <v>380</v>
      </c>
      <c r="Q201" s="14" t="s">
        <v>381</v>
      </c>
      <c r="R201" s="15" t="s">
        <v>382</v>
      </c>
      <c r="S201" s="34"/>
      <c r="T201" s="34">
        <v>127.78</v>
      </c>
      <c r="U201" s="35"/>
      <c r="V201" s="38">
        <f t="shared" si="6"/>
        <v>-127.78</v>
      </c>
      <c r="W201" s="39">
        <f t="shared" si="7"/>
        <v>-1</v>
      </c>
    </row>
    <row r="202" spans="13:23" x14ac:dyDescent="0.2">
      <c r="M202" s="15" t="s">
        <v>218</v>
      </c>
      <c r="N202" s="14" t="s">
        <v>378</v>
      </c>
      <c r="O202" s="14" t="s">
        <v>379</v>
      </c>
      <c r="P202" s="14" t="s">
        <v>380</v>
      </c>
      <c r="Q202" s="14" t="s">
        <v>381</v>
      </c>
      <c r="R202" s="15" t="s">
        <v>382</v>
      </c>
      <c r="S202" s="34">
        <v>10</v>
      </c>
      <c r="T202" s="34">
        <v>10</v>
      </c>
      <c r="U202" s="35"/>
      <c r="V202" s="38">
        <f t="shared" si="6"/>
        <v>-10</v>
      </c>
      <c r="W202" s="39">
        <f t="shared" si="7"/>
        <v>-1</v>
      </c>
    </row>
    <row r="203" spans="13:23" x14ac:dyDescent="0.2">
      <c r="M203" s="15" t="s">
        <v>219</v>
      </c>
      <c r="N203" s="14" t="s">
        <v>378</v>
      </c>
      <c r="O203" s="14" t="s">
        <v>379</v>
      </c>
      <c r="P203" s="14" t="s">
        <v>380</v>
      </c>
      <c r="Q203" s="14" t="s">
        <v>381</v>
      </c>
      <c r="R203" s="15" t="s">
        <v>382</v>
      </c>
      <c r="S203" s="34">
        <v>387.85</v>
      </c>
      <c r="T203" s="34">
        <v>2873.86</v>
      </c>
      <c r="U203" s="35">
        <v>1890.69</v>
      </c>
      <c r="V203" s="38">
        <f t="shared" si="6"/>
        <v>-983.17000000000007</v>
      </c>
      <c r="W203" s="39">
        <f t="shared" si="7"/>
        <v>-0.34210782710361676</v>
      </c>
    </row>
    <row r="204" spans="13:23" x14ac:dyDescent="0.2">
      <c r="M204" s="15" t="s">
        <v>220</v>
      </c>
      <c r="N204" s="14" t="s">
        <v>378</v>
      </c>
      <c r="O204" s="14" t="s">
        <v>379</v>
      </c>
      <c r="P204" s="14" t="s">
        <v>380</v>
      </c>
      <c r="Q204" s="14" t="s">
        <v>381</v>
      </c>
      <c r="R204" s="15" t="s">
        <v>382</v>
      </c>
      <c r="S204" s="34">
        <v>2316.73</v>
      </c>
      <c r="T204" s="34">
        <v>2364.85</v>
      </c>
      <c r="U204" s="35">
        <v>887.98</v>
      </c>
      <c r="V204" s="38">
        <f t="shared" si="6"/>
        <v>-1476.87</v>
      </c>
      <c r="W204" s="39">
        <f t="shared" si="7"/>
        <v>-0.62450895405628259</v>
      </c>
    </row>
    <row r="205" spans="13:23" x14ac:dyDescent="0.2">
      <c r="M205" s="15" t="s">
        <v>221</v>
      </c>
      <c r="N205" s="14" t="s">
        <v>378</v>
      </c>
      <c r="O205" s="14" t="s">
        <v>379</v>
      </c>
      <c r="P205" s="14" t="s">
        <v>380</v>
      </c>
      <c r="Q205" s="14" t="s">
        <v>381</v>
      </c>
      <c r="R205" s="15" t="s">
        <v>382</v>
      </c>
      <c r="S205" s="34">
        <v>675.25</v>
      </c>
      <c r="T205" s="34">
        <v>50.54</v>
      </c>
      <c r="U205" s="35">
        <v>126.58</v>
      </c>
      <c r="V205" s="38">
        <f t="shared" si="6"/>
        <v>76.039999999999992</v>
      </c>
      <c r="W205" s="39" t="str">
        <f t="shared" si="7"/>
        <v>&gt;100%</v>
      </c>
    </row>
    <row r="206" spans="13:23" x14ac:dyDescent="0.2">
      <c r="M206" s="15" t="s">
        <v>222</v>
      </c>
      <c r="N206" s="14" t="s">
        <v>378</v>
      </c>
      <c r="O206" s="14" t="s">
        <v>379</v>
      </c>
      <c r="P206" s="14" t="s">
        <v>380</v>
      </c>
      <c r="Q206" s="14" t="s">
        <v>381</v>
      </c>
      <c r="R206" s="15" t="s">
        <v>382</v>
      </c>
      <c r="S206" s="34">
        <v>9477.44</v>
      </c>
      <c r="T206" s="34">
        <v>622.49</v>
      </c>
      <c r="U206" s="35">
        <v>687.44</v>
      </c>
      <c r="V206" s="38">
        <f t="shared" si="6"/>
        <v>64.950000000000045</v>
      </c>
      <c r="W206" s="39">
        <f t="shared" si="7"/>
        <v>0.10433902552651456</v>
      </c>
    </row>
    <row r="207" spans="13:23" x14ac:dyDescent="0.2">
      <c r="M207" s="15" t="s">
        <v>223</v>
      </c>
      <c r="N207" s="14" t="s">
        <v>378</v>
      </c>
      <c r="O207" s="14" t="s">
        <v>379</v>
      </c>
      <c r="P207" s="14" t="s">
        <v>380</v>
      </c>
      <c r="Q207" s="14" t="s">
        <v>381</v>
      </c>
      <c r="R207" s="15" t="s">
        <v>382</v>
      </c>
      <c r="S207" s="34">
        <v>258.58999999999997</v>
      </c>
      <c r="T207" s="34"/>
      <c r="U207" s="35"/>
      <c r="V207" s="38">
        <f t="shared" si="6"/>
        <v>0</v>
      </c>
      <c r="W207" s="39" t="str">
        <f t="shared" si="7"/>
        <v/>
      </c>
    </row>
    <row r="208" spans="13:23" x14ac:dyDescent="0.2">
      <c r="M208" s="15" t="s">
        <v>224</v>
      </c>
      <c r="N208" s="14" t="s">
        <v>378</v>
      </c>
      <c r="O208" s="14" t="s">
        <v>379</v>
      </c>
      <c r="P208" s="14" t="s">
        <v>380</v>
      </c>
      <c r="Q208" s="14" t="s">
        <v>381</v>
      </c>
      <c r="R208" s="15" t="s">
        <v>382</v>
      </c>
      <c r="S208" s="34">
        <v>147.1</v>
      </c>
      <c r="T208" s="34">
        <v>440.45</v>
      </c>
      <c r="U208" s="35">
        <v>761.9</v>
      </c>
      <c r="V208" s="38">
        <f t="shared" si="6"/>
        <v>321.45</v>
      </c>
      <c r="W208" s="39">
        <f t="shared" si="7"/>
        <v>0.72982177318651376</v>
      </c>
    </row>
    <row r="209" spans="13:23" x14ac:dyDescent="0.2">
      <c r="M209" s="15" t="s">
        <v>225</v>
      </c>
      <c r="N209" s="14" t="s">
        <v>378</v>
      </c>
      <c r="O209" s="14" t="s">
        <v>379</v>
      </c>
      <c r="P209" s="14" t="s">
        <v>380</v>
      </c>
      <c r="Q209" s="14" t="s">
        <v>381</v>
      </c>
      <c r="R209" s="15" t="s">
        <v>382</v>
      </c>
      <c r="S209" s="34">
        <v>20</v>
      </c>
      <c r="T209" s="34"/>
      <c r="U209" s="35">
        <v>237.71</v>
      </c>
      <c r="V209" s="38">
        <f t="shared" si="6"/>
        <v>237.71</v>
      </c>
      <c r="W209" s="39" t="str">
        <f t="shared" si="7"/>
        <v/>
      </c>
    </row>
    <row r="210" spans="13:23" x14ac:dyDescent="0.2">
      <c r="M210" s="15" t="s">
        <v>226</v>
      </c>
      <c r="N210" s="14" t="s">
        <v>378</v>
      </c>
      <c r="O210" s="14" t="s">
        <v>379</v>
      </c>
      <c r="P210" s="14" t="s">
        <v>380</v>
      </c>
      <c r="Q210" s="14" t="s">
        <v>381</v>
      </c>
      <c r="R210" s="15" t="s">
        <v>382</v>
      </c>
      <c r="S210" s="34">
        <v>10101.65</v>
      </c>
      <c r="T210" s="34">
        <v>406.74</v>
      </c>
      <c r="U210" s="35">
        <v>668.8</v>
      </c>
      <c r="V210" s="38">
        <f t="shared" si="6"/>
        <v>262.05999999999995</v>
      </c>
      <c r="W210" s="39">
        <f t="shared" si="7"/>
        <v>0.64429365196439969</v>
      </c>
    </row>
    <row r="211" spans="13:23" x14ac:dyDescent="0.2">
      <c r="M211" s="15" t="s">
        <v>227</v>
      </c>
      <c r="N211" s="14" t="s">
        <v>378</v>
      </c>
      <c r="O211" s="14" t="s">
        <v>379</v>
      </c>
      <c r="P211" s="14" t="s">
        <v>380</v>
      </c>
      <c r="Q211" s="14" t="s">
        <v>381</v>
      </c>
      <c r="R211" s="15" t="s">
        <v>382</v>
      </c>
      <c r="S211" s="34">
        <v>11003.78</v>
      </c>
      <c r="T211" s="34">
        <v>27611.46</v>
      </c>
      <c r="U211" s="35">
        <v>32845.72</v>
      </c>
      <c r="V211" s="38">
        <f t="shared" si="6"/>
        <v>5234.260000000002</v>
      </c>
      <c r="W211" s="39">
        <f t="shared" si="7"/>
        <v>0.1895683893571728</v>
      </c>
    </row>
    <row r="212" spans="13:23" x14ac:dyDescent="0.2">
      <c r="M212" s="15" t="s">
        <v>228</v>
      </c>
      <c r="N212" s="14" t="s">
        <v>378</v>
      </c>
      <c r="O212" s="14" t="s">
        <v>379</v>
      </c>
      <c r="P212" s="14" t="s">
        <v>380</v>
      </c>
      <c r="Q212" s="14" t="s">
        <v>381</v>
      </c>
      <c r="R212" s="15" t="s">
        <v>382</v>
      </c>
      <c r="S212" s="34">
        <v>6056.48</v>
      </c>
      <c r="T212" s="34">
        <v>3388.18</v>
      </c>
      <c r="U212" s="35">
        <v>3818.97</v>
      </c>
      <c r="V212" s="38">
        <f t="shared" si="6"/>
        <v>430.78999999999996</v>
      </c>
      <c r="W212" s="39">
        <f t="shared" si="7"/>
        <v>0.12714495687950464</v>
      </c>
    </row>
    <row r="213" spans="13:23" x14ac:dyDescent="0.2">
      <c r="M213" s="15" t="s">
        <v>229</v>
      </c>
      <c r="N213" s="14" t="s">
        <v>378</v>
      </c>
      <c r="O213" s="14" t="s">
        <v>379</v>
      </c>
      <c r="P213" s="14" t="s">
        <v>380</v>
      </c>
      <c r="Q213" s="14" t="s">
        <v>381</v>
      </c>
      <c r="R213" s="15" t="s">
        <v>382</v>
      </c>
      <c r="S213" s="34">
        <v>682.76</v>
      </c>
      <c r="T213" s="34">
        <v>422.97</v>
      </c>
      <c r="U213" s="35">
        <v>1069</v>
      </c>
      <c r="V213" s="38">
        <f t="shared" si="6"/>
        <v>646.03</v>
      </c>
      <c r="W213" s="39" t="str">
        <f t="shared" si="7"/>
        <v>&gt;100%</v>
      </c>
    </row>
    <row r="214" spans="13:23" x14ac:dyDescent="0.2">
      <c r="M214" s="15" t="s">
        <v>230</v>
      </c>
      <c r="N214" s="14" t="s">
        <v>378</v>
      </c>
      <c r="O214" s="14" t="s">
        <v>379</v>
      </c>
      <c r="P214" s="14" t="s">
        <v>380</v>
      </c>
      <c r="Q214" s="14" t="s">
        <v>381</v>
      </c>
      <c r="R214" s="15" t="s">
        <v>382</v>
      </c>
      <c r="S214" s="34">
        <v>1241.33</v>
      </c>
      <c r="T214" s="34">
        <v>147.5</v>
      </c>
      <c r="U214" s="35">
        <v>199.01</v>
      </c>
      <c r="V214" s="38">
        <f t="shared" si="6"/>
        <v>51.509999999999991</v>
      </c>
      <c r="W214" s="39">
        <f t="shared" si="7"/>
        <v>0.34922033898305077</v>
      </c>
    </row>
    <row r="215" spans="13:23" x14ac:dyDescent="0.2">
      <c r="M215" s="15" t="s">
        <v>231</v>
      </c>
      <c r="N215" s="14" t="s">
        <v>378</v>
      </c>
      <c r="O215" s="14" t="s">
        <v>379</v>
      </c>
      <c r="P215" s="14" t="s">
        <v>380</v>
      </c>
      <c r="Q215" s="14" t="s">
        <v>381</v>
      </c>
      <c r="R215" s="15" t="s">
        <v>382</v>
      </c>
      <c r="S215" s="34"/>
      <c r="T215" s="34">
        <v>379.92</v>
      </c>
      <c r="U215" s="35">
        <v>687.57</v>
      </c>
      <c r="V215" s="38">
        <f t="shared" si="6"/>
        <v>307.65000000000003</v>
      </c>
      <c r="W215" s="39">
        <f t="shared" si="7"/>
        <v>0.80977574226152882</v>
      </c>
    </row>
    <row r="216" spans="13:23" x14ac:dyDescent="0.2">
      <c r="M216" s="15" t="s">
        <v>232</v>
      </c>
      <c r="N216" s="14" t="s">
        <v>378</v>
      </c>
      <c r="O216" s="14" t="s">
        <v>379</v>
      </c>
      <c r="P216" s="14" t="s">
        <v>380</v>
      </c>
      <c r="Q216" s="14" t="s">
        <v>381</v>
      </c>
      <c r="R216" s="15" t="s">
        <v>382</v>
      </c>
      <c r="S216" s="34">
        <v>713.34</v>
      </c>
      <c r="T216" s="34">
        <v>1226.3800000000001</v>
      </c>
      <c r="U216" s="35">
        <v>1850.23</v>
      </c>
      <c r="V216" s="38">
        <f t="shared" si="6"/>
        <v>623.84999999999991</v>
      </c>
      <c r="W216" s="39">
        <f t="shared" si="7"/>
        <v>0.50869224873204055</v>
      </c>
    </row>
    <row r="217" spans="13:23" x14ac:dyDescent="0.2">
      <c r="M217" s="15" t="s">
        <v>233</v>
      </c>
      <c r="N217" s="14" t="s">
        <v>378</v>
      </c>
      <c r="O217" s="14" t="s">
        <v>379</v>
      </c>
      <c r="P217" s="14" t="s">
        <v>380</v>
      </c>
      <c r="Q217" s="14" t="s">
        <v>381</v>
      </c>
      <c r="R217" s="15" t="s">
        <v>382</v>
      </c>
      <c r="S217" s="34">
        <v>20</v>
      </c>
      <c r="T217" s="34"/>
      <c r="U217" s="35">
        <v>456.66</v>
      </c>
      <c r="V217" s="38">
        <f t="shared" si="6"/>
        <v>456.66</v>
      </c>
      <c r="W217" s="39" t="str">
        <f t="shared" si="7"/>
        <v/>
      </c>
    </row>
    <row r="218" spans="13:23" x14ac:dyDescent="0.2">
      <c r="M218" s="15" t="s">
        <v>234</v>
      </c>
      <c r="N218" s="14" t="s">
        <v>378</v>
      </c>
      <c r="O218" s="14" t="s">
        <v>379</v>
      </c>
      <c r="P218" s="14" t="s">
        <v>380</v>
      </c>
      <c r="Q218" s="14" t="s">
        <v>381</v>
      </c>
      <c r="R218" s="15" t="s">
        <v>382</v>
      </c>
      <c r="S218" s="34"/>
      <c r="T218" s="34"/>
      <c r="U218" s="35">
        <v>10</v>
      </c>
      <c r="V218" s="38">
        <f t="shared" si="6"/>
        <v>10</v>
      </c>
      <c r="W218" s="39" t="str">
        <f t="shared" si="7"/>
        <v/>
      </c>
    </row>
    <row r="219" spans="13:23" x14ac:dyDescent="0.2">
      <c r="M219" s="15" t="s">
        <v>235</v>
      </c>
      <c r="N219" s="14" t="s">
        <v>378</v>
      </c>
      <c r="O219" s="14" t="s">
        <v>379</v>
      </c>
      <c r="P219" s="14" t="s">
        <v>380</v>
      </c>
      <c r="Q219" s="14" t="s">
        <v>381</v>
      </c>
      <c r="R219" s="15" t="s">
        <v>382</v>
      </c>
      <c r="S219" s="34"/>
      <c r="T219" s="34">
        <v>927.04</v>
      </c>
      <c r="U219" s="35"/>
      <c r="V219" s="38">
        <f t="shared" si="6"/>
        <v>-927.04</v>
      </c>
      <c r="W219" s="39">
        <f t="shared" si="7"/>
        <v>-1</v>
      </c>
    </row>
    <row r="220" spans="13:23" x14ac:dyDescent="0.2">
      <c r="M220" s="15" t="s">
        <v>236</v>
      </c>
      <c r="N220" s="14" t="s">
        <v>378</v>
      </c>
      <c r="O220" s="14" t="s">
        <v>379</v>
      </c>
      <c r="P220" s="14" t="s">
        <v>380</v>
      </c>
      <c r="Q220" s="14" t="s">
        <v>381</v>
      </c>
      <c r="R220" s="15" t="s">
        <v>382</v>
      </c>
      <c r="S220" s="34">
        <v>30965.439999999999</v>
      </c>
      <c r="T220" s="34">
        <v>10015.83</v>
      </c>
      <c r="U220" s="35"/>
      <c r="V220" s="38">
        <f t="shared" si="6"/>
        <v>-10015.83</v>
      </c>
      <c r="W220" s="39">
        <f t="shared" si="7"/>
        <v>-1</v>
      </c>
    </row>
    <row r="221" spans="13:23" x14ac:dyDescent="0.2">
      <c r="M221" s="15" t="s">
        <v>237</v>
      </c>
      <c r="N221" s="14" t="s">
        <v>378</v>
      </c>
      <c r="O221" s="14" t="s">
        <v>379</v>
      </c>
      <c r="P221" s="14" t="s">
        <v>380</v>
      </c>
      <c r="Q221" s="14" t="s">
        <v>381</v>
      </c>
      <c r="R221" s="15" t="s">
        <v>382</v>
      </c>
      <c r="S221" s="34"/>
      <c r="T221" s="34">
        <v>10</v>
      </c>
      <c r="U221" s="35"/>
      <c r="V221" s="38">
        <f t="shared" si="6"/>
        <v>-10</v>
      </c>
      <c r="W221" s="39">
        <f t="shared" si="7"/>
        <v>-1</v>
      </c>
    </row>
    <row r="222" spans="13:23" x14ac:dyDescent="0.2">
      <c r="M222" s="15" t="s">
        <v>238</v>
      </c>
      <c r="N222" s="14" t="s">
        <v>378</v>
      </c>
      <c r="O222" s="14" t="s">
        <v>379</v>
      </c>
      <c r="P222" s="14" t="s">
        <v>380</v>
      </c>
      <c r="Q222" s="14" t="s">
        <v>381</v>
      </c>
      <c r="R222" s="15" t="s">
        <v>382</v>
      </c>
      <c r="S222" s="34">
        <v>24622.3</v>
      </c>
      <c r="T222" s="34">
        <v>30090.78</v>
      </c>
      <c r="U222" s="35">
        <v>16955.599999999999</v>
      </c>
      <c r="V222" s="38">
        <f t="shared" si="6"/>
        <v>-13135.18</v>
      </c>
      <c r="W222" s="39">
        <f t="shared" si="7"/>
        <v>-0.43651842856848511</v>
      </c>
    </row>
    <row r="223" spans="13:23" x14ac:dyDescent="0.2">
      <c r="M223" s="15" t="s">
        <v>239</v>
      </c>
      <c r="N223" s="14" t="s">
        <v>378</v>
      </c>
      <c r="O223" s="14" t="s">
        <v>379</v>
      </c>
      <c r="P223" s="14" t="s">
        <v>380</v>
      </c>
      <c r="Q223" s="14" t="s">
        <v>381</v>
      </c>
      <c r="R223" s="15" t="s">
        <v>382</v>
      </c>
      <c r="S223" s="34"/>
      <c r="T223" s="34">
        <v>151.54</v>
      </c>
      <c r="U223" s="35">
        <v>110.23</v>
      </c>
      <c r="V223" s="38">
        <f t="shared" si="6"/>
        <v>-41.309999999999988</v>
      </c>
      <c r="W223" s="39">
        <f t="shared" si="7"/>
        <v>-0.2726012933878843</v>
      </c>
    </row>
    <row r="224" spans="13:23" x14ac:dyDescent="0.2">
      <c r="M224" s="15" t="s">
        <v>240</v>
      </c>
      <c r="N224" s="14" t="s">
        <v>378</v>
      </c>
      <c r="O224" s="14" t="s">
        <v>379</v>
      </c>
      <c r="P224" s="14" t="s">
        <v>380</v>
      </c>
      <c r="Q224" s="14" t="s">
        <v>381</v>
      </c>
      <c r="R224" s="15" t="s">
        <v>382</v>
      </c>
      <c r="S224" s="34">
        <v>1232.75</v>
      </c>
      <c r="T224" s="34">
        <v>1252.5</v>
      </c>
      <c r="U224" s="35">
        <v>12.5</v>
      </c>
      <c r="V224" s="38">
        <f t="shared" si="6"/>
        <v>-1240</v>
      </c>
      <c r="W224" s="39">
        <f t="shared" si="7"/>
        <v>-0.99001996007984028</v>
      </c>
    </row>
    <row r="225" spans="13:23" x14ac:dyDescent="0.2">
      <c r="M225" s="15" t="s">
        <v>241</v>
      </c>
      <c r="N225" s="14" t="s">
        <v>378</v>
      </c>
      <c r="O225" s="14" t="s">
        <v>379</v>
      </c>
      <c r="P225" s="14" t="s">
        <v>380</v>
      </c>
      <c r="Q225" s="14" t="s">
        <v>381</v>
      </c>
      <c r="R225" s="15" t="s">
        <v>382</v>
      </c>
      <c r="S225" s="34">
        <v>216.85</v>
      </c>
      <c r="T225" s="34">
        <v>313.13</v>
      </c>
      <c r="U225" s="35">
        <v>357.23</v>
      </c>
      <c r="V225" s="38">
        <f t="shared" si="6"/>
        <v>44.100000000000023</v>
      </c>
      <c r="W225" s="39">
        <f t="shared" si="7"/>
        <v>0.14083607447386076</v>
      </c>
    </row>
    <row r="226" spans="13:23" x14ac:dyDescent="0.2">
      <c r="M226" s="15" t="s">
        <v>242</v>
      </c>
      <c r="N226" s="14" t="s">
        <v>378</v>
      </c>
      <c r="O226" s="14" t="s">
        <v>379</v>
      </c>
      <c r="P226" s="14" t="s">
        <v>380</v>
      </c>
      <c r="Q226" s="14" t="s">
        <v>381</v>
      </c>
      <c r="R226" s="15" t="s">
        <v>382</v>
      </c>
      <c r="S226" s="34">
        <v>20</v>
      </c>
      <c r="T226" s="34">
        <v>20</v>
      </c>
      <c r="U226" s="35">
        <v>10</v>
      </c>
      <c r="V226" s="38">
        <f t="shared" si="6"/>
        <v>-10</v>
      </c>
      <c r="W226" s="39">
        <f t="shared" si="7"/>
        <v>-0.5</v>
      </c>
    </row>
    <row r="227" spans="13:23" x14ac:dyDescent="0.2">
      <c r="M227" s="15" t="s">
        <v>243</v>
      </c>
      <c r="N227" s="14" t="s">
        <v>378</v>
      </c>
      <c r="O227" s="14" t="s">
        <v>379</v>
      </c>
      <c r="P227" s="14" t="s">
        <v>380</v>
      </c>
      <c r="Q227" s="14" t="s">
        <v>381</v>
      </c>
      <c r="R227" s="15" t="s">
        <v>382</v>
      </c>
      <c r="S227" s="34">
        <v>10</v>
      </c>
      <c r="T227" s="34">
        <v>10</v>
      </c>
      <c r="U227" s="35"/>
      <c r="V227" s="38">
        <f t="shared" si="6"/>
        <v>-10</v>
      </c>
      <c r="W227" s="39">
        <f t="shared" si="7"/>
        <v>-1</v>
      </c>
    </row>
    <row r="228" spans="13:23" x14ac:dyDescent="0.2">
      <c r="M228" s="15" t="s">
        <v>244</v>
      </c>
      <c r="N228" s="14" t="s">
        <v>378</v>
      </c>
      <c r="O228" s="14" t="s">
        <v>379</v>
      </c>
      <c r="P228" s="14" t="s">
        <v>380</v>
      </c>
      <c r="Q228" s="14" t="s">
        <v>381</v>
      </c>
      <c r="R228" s="15" t="s">
        <v>382</v>
      </c>
      <c r="S228" s="34">
        <v>258.58</v>
      </c>
      <c r="T228" s="34">
        <v>10</v>
      </c>
      <c r="U228" s="35">
        <v>10</v>
      </c>
      <c r="V228" s="38">
        <f t="shared" si="6"/>
        <v>0</v>
      </c>
      <c r="W228" s="39">
        <f t="shared" si="7"/>
        <v>0</v>
      </c>
    </row>
    <row r="229" spans="13:23" x14ac:dyDescent="0.2">
      <c r="M229" s="15" t="s">
        <v>245</v>
      </c>
      <c r="N229" s="14" t="s">
        <v>378</v>
      </c>
      <c r="O229" s="14" t="s">
        <v>379</v>
      </c>
      <c r="P229" s="14" t="s">
        <v>380</v>
      </c>
      <c r="Q229" s="14" t="s">
        <v>381</v>
      </c>
      <c r="R229" s="15" t="s">
        <v>382</v>
      </c>
      <c r="S229" s="34">
        <v>82223</v>
      </c>
      <c r="T229" s="34">
        <v>95164.28</v>
      </c>
      <c r="U229" s="35">
        <v>74013.09</v>
      </c>
      <c r="V229" s="38">
        <f t="shared" si="6"/>
        <v>-21151.190000000002</v>
      </c>
      <c r="W229" s="39">
        <f t="shared" si="7"/>
        <v>-0.22225975964931383</v>
      </c>
    </row>
    <row r="230" spans="13:23" x14ac:dyDescent="0.2">
      <c r="M230" s="15" t="s">
        <v>246</v>
      </c>
      <c r="N230" s="14" t="s">
        <v>378</v>
      </c>
      <c r="O230" s="14" t="s">
        <v>379</v>
      </c>
      <c r="P230" s="14" t="s">
        <v>380</v>
      </c>
      <c r="Q230" s="14" t="s">
        <v>381</v>
      </c>
      <c r="R230" s="15" t="s">
        <v>382</v>
      </c>
      <c r="S230" s="34">
        <v>8143.46</v>
      </c>
      <c r="T230" s="34">
        <v>8113.85</v>
      </c>
      <c r="U230" s="35">
        <v>21181.06</v>
      </c>
      <c r="V230" s="38">
        <f t="shared" si="6"/>
        <v>13067.210000000001</v>
      </c>
      <c r="W230" s="39" t="str">
        <f t="shared" si="7"/>
        <v>&gt;100%</v>
      </c>
    </row>
    <row r="231" spans="13:23" x14ac:dyDescent="0.2">
      <c r="M231" s="15" t="s">
        <v>247</v>
      </c>
      <c r="N231" s="14" t="s">
        <v>378</v>
      </c>
      <c r="O231" s="14" t="s">
        <v>379</v>
      </c>
      <c r="P231" s="14" t="s">
        <v>380</v>
      </c>
      <c r="Q231" s="14" t="s">
        <v>381</v>
      </c>
      <c r="R231" s="15" t="s">
        <v>382</v>
      </c>
      <c r="S231" s="34">
        <v>3074.66</v>
      </c>
      <c r="T231" s="34">
        <v>2618.48</v>
      </c>
      <c r="U231" s="35">
        <v>9314.86</v>
      </c>
      <c r="V231" s="38">
        <f t="shared" si="6"/>
        <v>6696.380000000001</v>
      </c>
      <c r="W231" s="39" t="str">
        <f t="shared" si="7"/>
        <v>&gt;100%</v>
      </c>
    </row>
    <row r="232" spans="13:23" x14ac:dyDescent="0.2">
      <c r="M232" s="15" t="s">
        <v>248</v>
      </c>
      <c r="N232" s="14" t="s">
        <v>378</v>
      </c>
      <c r="O232" s="14" t="s">
        <v>379</v>
      </c>
      <c r="P232" s="14" t="s">
        <v>380</v>
      </c>
      <c r="Q232" s="14" t="s">
        <v>381</v>
      </c>
      <c r="R232" s="15" t="s">
        <v>382</v>
      </c>
      <c r="S232" s="34">
        <v>20</v>
      </c>
      <c r="T232" s="34">
        <v>20</v>
      </c>
      <c r="U232" s="35">
        <v>20</v>
      </c>
      <c r="V232" s="38">
        <f t="shared" si="6"/>
        <v>0</v>
      </c>
      <c r="W232" s="39">
        <f t="shared" si="7"/>
        <v>0</v>
      </c>
    </row>
    <row r="233" spans="13:23" x14ac:dyDescent="0.2">
      <c r="M233" s="15" t="s">
        <v>249</v>
      </c>
      <c r="N233" s="14" t="s">
        <v>378</v>
      </c>
      <c r="O233" s="14" t="s">
        <v>379</v>
      </c>
      <c r="P233" s="14" t="s">
        <v>380</v>
      </c>
      <c r="Q233" s="14" t="s">
        <v>381</v>
      </c>
      <c r="R233" s="15" t="s">
        <v>382</v>
      </c>
      <c r="S233" s="34">
        <v>40.17</v>
      </c>
      <c r="T233" s="34"/>
      <c r="U233" s="35"/>
      <c r="V233" s="38">
        <f t="shared" si="6"/>
        <v>0</v>
      </c>
      <c r="W233" s="39" t="str">
        <f t="shared" si="7"/>
        <v/>
      </c>
    </row>
    <row r="234" spans="13:23" x14ac:dyDescent="0.2">
      <c r="M234" s="15" t="s">
        <v>250</v>
      </c>
      <c r="N234" s="14" t="s">
        <v>378</v>
      </c>
      <c r="O234" s="14" t="s">
        <v>379</v>
      </c>
      <c r="P234" s="14" t="s">
        <v>380</v>
      </c>
      <c r="Q234" s="14" t="s">
        <v>381</v>
      </c>
      <c r="R234" s="15" t="s">
        <v>382</v>
      </c>
      <c r="S234" s="34">
        <v>30</v>
      </c>
      <c r="T234" s="34">
        <v>60</v>
      </c>
      <c r="U234" s="35">
        <v>40</v>
      </c>
      <c r="V234" s="38">
        <f t="shared" si="6"/>
        <v>-20</v>
      </c>
      <c r="W234" s="39">
        <f t="shared" si="7"/>
        <v>-0.33333333333333331</v>
      </c>
    </row>
    <row r="235" spans="13:23" x14ac:dyDescent="0.2">
      <c r="M235" s="15" t="s">
        <v>251</v>
      </c>
      <c r="N235" s="14" t="s">
        <v>378</v>
      </c>
      <c r="O235" s="14" t="s">
        <v>379</v>
      </c>
      <c r="P235" s="14" t="s">
        <v>380</v>
      </c>
      <c r="Q235" s="14" t="s">
        <v>381</v>
      </c>
      <c r="R235" s="15" t="s">
        <v>382</v>
      </c>
      <c r="S235" s="34">
        <v>5544.03</v>
      </c>
      <c r="T235" s="34">
        <v>14761.16</v>
      </c>
      <c r="U235" s="35">
        <v>17190.68</v>
      </c>
      <c r="V235" s="38">
        <f t="shared" si="6"/>
        <v>2429.5200000000004</v>
      </c>
      <c r="W235" s="39">
        <f t="shared" si="7"/>
        <v>0.16458869086169384</v>
      </c>
    </row>
    <row r="236" spans="13:23" x14ac:dyDescent="0.2">
      <c r="M236" s="15" t="s">
        <v>252</v>
      </c>
      <c r="N236" s="14" t="s">
        <v>378</v>
      </c>
      <c r="O236" s="14" t="s">
        <v>379</v>
      </c>
      <c r="P236" s="14" t="s">
        <v>380</v>
      </c>
      <c r="Q236" s="14" t="s">
        <v>381</v>
      </c>
      <c r="R236" s="15" t="s">
        <v>382</v>
      </c>
      <c r="S236" s="34">
        <v>492.35</v>
      </c>
      <c r="T236" s="34">
        <v>247.5</v>
      </c>
      <c r="U236" s="35">
        <v>245.39</v>
      </c>
      <c r="V236" s="38">
        <f t="shared" si="6"/>
        <v>-2.1100000000000136</v>
      </c>
      <c r="W236" s="39">
        <f t="shared" si="7"/>
        <v>-8.5252525252525798E-3</v>
      </c>
    </row>
    <row r="237" spans="13:23" x14ac:dyDescent="0.2">
      <c r="M237" s="15" t="s">
        <v>253</v>
      </c>
      <c r="N237" s="14" t="s">
        <v>378</v>
      </c>
      <c r="O237" s="14" t="s">
        <v>379</v>
      </c>
      <c r="P237" s="14" t="s">
        <v>380</v>
      </c>
      <c r="Q237" s="14" t="s">
        <v>381</v>
      </c>
      <c r="R237" s="15" t="s">
        <v>382</v>
      </c>
      <c r="S237" s="34"/>
      <c r="T237" s="34">
        <v>10</v>
      </c>
      <c r="U237" s="35">
        <v>10</v>
      </c>
      <c r="V237" s="38">
        <f t="shared" si="6"/>
        <v>0</v>
      </c>
      <c r="W237" s="39">
        <f t="shared" si="7"/>
        <v>0</v>
      </c>
    </row>
    <row r="238" spans="13:23" x14ac:dyDescent="0.2">
      <c r="M238" s="15" t="s">
        <v>254</v>
      </c>
      <c r="N238" s="14" t="s">
        <v>378</v>
      </c>
      <c r="O238" s="14" t="s">
        <v>379</v>
      </c>
      <c r="P238" s="14" t="s">
        <v>380</v>
      </c>
      <c r="Q238" s="14" t="s">
        <v>381</v>
      </c>
      <c r="R238" s="15" t="s">
        <v>382</v>
      </c>
      <c r="S238" s="34">
        <v>387.18</v>
      </c>
      <c r="T238" s="34">
        <v>78.680000000000007</v>
      </c>
      <c r="U238" s="35">
        <v>906.87</v>
      </c>
      <c r="V238" s="38">
        <f t="shared" si="6"/>
        <v>828.19</v>
      </c>
      <c r="W238" s="39" t="str">
        <f t="shared" si="7"/>
        <v>&gt;100%</v>
      </c>
    </row>
    <row r="239" spans="13:23" x14ac:dyDescent="0.2">
      <c r="M239" s="15" t="s">
        <v>255</v>
      </c>
      <c r="N239" s="14" t="s">
        <v>378</v>
      </c>
      <c r="O239" s="14" t="s">
        <v>379</v>
      </c>
      <c r="P239" s="14" t="s">
        <v>380</v>
      </c>
      <c r="Q239" s="14" t="s">
        <v>381</v>
      </c>
      <c r="R239" s="15" t="s">
        <v>382</v>
      </c>
      <c r="S239" s="34">
        <v>80152.56</v>
      </c>
      <c r="T239" s="34">
        <v>97460.41</v>
      </c>
      <c r="U239" s="35">
        <v>111078.06</v>
      </c>
      <c r="V239" s="38">
        <f t="shared" si="6"/>
        <v>13617.649999999994</v>
      </c>
      <c r="W239" s="39">
        <f t="shared" si="7"/>
        <v>0.13972494061947816</v>
      </c>
    </row>
    <row r="240" spans="13:23" x14ac:dyDescent="0.2">
      <c r="M240" s="15" t="s">
        <v>256</v>
      </c>
      <c r="N240" s="14" t="s">
        <v>378</v>
      </c>
      <c r="O240" s="14" t="s">
        <v>379</v>
      </c>
      <c r="P240" s="14" t="s">
        <v>380</v>
      </c>
      <c r="Q240" s="14" t="s">
        <v>381</v>
      </c>
      <c r="R240" s="15" t="s">
        <v>382</v>
      </c>
      <c r="S240" s="34">
        <v>3889.77</v>
      </c>
      <c r="T240" s="34">
        <v>15410.11</v>
      </c>
      <c r="U240" s="35">
        <v>2804.83</v>
      </c>
      <c r="V240" s="38">
        <f t="shared" si="6"/>
        <v>-12605.28</v>
      </c>
      <c r="W240" s="39">
        <f t="shared" si="7"/>
        <v>-0.81798767172979303</v>
      </c>
    </row>
    <row r="241" spans="13:23" x14ac:dyDescent="0.2">
      <c r="M241" s="15" t="s">
        <v>257</v>
      </c>
      <c r="N241" s="14" t="s">
        <v>378</v>
      </c>
      <c r="O241" s="14" t="s">
        <v>379</v>
      </c>
      <c r="P241" s="14" t="s">
        <v>380</v>
      </c>
      <c r="Q241" s="14" t="s">
        <v>381</v>
      </c>
      <c r="R241" s="15" t="s">
        <v>382</v>
      </c>
      <c r="S241" s="34">
        <v>8494.24</v>
      </c>
      <c r="T241" s="34">
        <v>3818.47</v>
      </c>
      <c r="U241" s="35">
        <v>3501.52</v>
      </c>
      <c r="V241" s="38">
        <f t="shared" si="6"/>
        <v>-316.94999999999982</v>
      </c>
      <c r="W241" s="39">
        <f t="shared" si="7"/>
        <v>-8.3004449426078986E-2</v>
      </c>
    </row>
    <row r="242" spans="13:23" x14ac:dyDescent="0.2">
      <c r="M242" s="15" t="s">
        <v>258</v>
      </c>
      <c r="N242" s="14" t="s">
        <v>378</v>
      </c>
      <c r="O242" s="14" t="s">
        <v>379</v>
      </c>
      <c r="P242" s="14" t="s">
        <v>380</v>
      </c>
      <c r="Q242" s="14" t="s">
        <v>381</v>
      </c>
      <c r="R242" s="15" t="s">
        <v>382</v>
      </c>
      <c r="S242" s="34">
        <v>178</v>
      </c>
      <c r="T242" s="34"/>
      <c r="U242" s="35"/>
      <c r="V242" s="38">
        <f t="shared" si="6"/>
        <v>0</v>
      </c>
      <c r="W242" s="39" t="str">
        <f t="shared" si="7"/>
        <v/>
      </c>
    </row>
    <row r="243" spans="13:23" x14ac:dyDescent="0.2">
      <c r="M243" s="15" t="s">
        <v>259</v>
      </c>
      <c r="N243" s="14" t="s">
        <v>378</v>
      </c>
      <c r="O243" s="14" t="s">
        <v>379</v>
      </c>
      <c r="P243" s="14" t="s">
        <v>380</v>
      </c>
      <c r="Q243" s="14" t="s">
        <v>381</v>
      </c>
      <c r="R243" s="15" t="s">
        <v>382</v>
      </c>
      <c r="S243" s="34">
        <v>412.02</v>
      </c>
      <c r="T243" s="34">
        <v>330.59</v>
      </c>
      <c r="U243" s="35">
        <v>3535.96</v>
      </c>
      <c r="V243" s="38">
        <f t="shared" si="6"/>
        <v>3205.37</v>
      </c>
      <c r="W243" s="39" t="str">
        <f t="shared" si="7"/>
        <v>&gt;100%</v>
      </c>
    </row>
    <row r="244" spans="13:23" x14ac:dyDescent="0.2">
      <c r="M244" s="15" t="s">
        <v>260</v>
      </c>
      <c r="N244" s="14" t="s">
        <v>378</v>
      </c>
      <c r="O244" s="14" t="s">
        <v>379</v>
      </c>
      <c r="P244" s="14" t="s">
        <v>380</v>
      </c>
      <c r="Q244" s="14" t="s">
        <v>381</v>
      </c>
      <c r="R244" s="15" t="s">
        <v>382</v>
      </c>
      <c r="S244" s="34">
        <v>60</v>
      </c>
      <c r="T244" s="34"/>
      <c r="U244" s="35">
        <v>0</v>
      </c>
      <c r="V244" s="38">
        <f t="shared" si="6"/>
        <v>0</v>
      </c>
      <c r="W244" s="39" t="str">
        <f t="shared" si="7"/>
        <v/>
      </c>
    </row>
    <row r="245" spans="13:23" x14ac:dyDescent="0.2">
      <c r="M245" s="15" t="s">
        <v>261</v>
      </c>
      <c r="N245" s="14" t="s">
        <v>378</v>
      </c>
      <c r="O245" s="14" t="s">
        <v>379</v>
      </c>
      <c r="P245" s="14" t="s">
        <v>380</v>
      </c>
      <c r="Q245" s="14" t="s">
        <v>381</v>
      </c>
      <c r="R245" s="15" t="s">
        <v>382</v>
      </c>
      <c r="S245" s="34">
        <v>1539.77</v>
      </c>
      <c r="T245" s="34">
        <v>2681.2</v>
      </c>
      <c r="U245" s="35">
        <v>1208.3599999999999</v>
      </c>
      <c r="V245" s="38">
        <f t="shared" si="6"/>
        <v>-1472.84</v>
      </c>
      <c r="W245" s="39">
        <f t="shared" si="7"/>
        <v>-0.54932119946292701</v>
      </c>
    </row>
    <row r="246" spans="13:23" x14ac:dyDescent="0.2">
      <c r="M246" s="15" t="s">
        <v>262</v>
      </c>
      <c r="N246" s="14" t="s">
        <v>378</v>
      </c>
      <c r="O246" s="14" t="s">
        <v>379</v>
      </c>
      <c r="P246" s="14" t="s">
        <v>380</v>
      </c>
      <c r="Q246" s="14" t="s">
        <v>381</v>
      </c>
      <c r="R246" s="15" t="s">
        <v>382</v>
      </c>
      <c r="S246" s="34">
        <v>5358.18</v>
      </c>
      <c r="T246" s="34">
        <v>15063.79</v>
      </c>
      <c r="U246" s="35">
        <v>3727.64</v>
      </c>
      <c r="V246" s="38">
        <f t="shared" si="6"/>
        <v>-11336.150000000001</v>
      </c>
      <c r="W246" s="39">
        <f t="shared" si="7"/>
        <v>-0.75254301872238005</v>
      </c>
    </row>
    <row r="247" spans="13:23" x14ac:dyDescent="0.2">
      <c r="M247" s="15" t="s">
        <v>263</v>
      </c>
      <c r="N247" s="14" t="s">
        <v>378</v>
      </c>
      <c r="O247" s="14" t="s">
        <v>379</v>
      </c>
      <c r="P247" s="14" t="s">
        <v>380</v>
      </c>
      <c r="Q247" s="14" t="s">
        <v>381</v>
      </c>
      <c r="R247" s="15" t="s">
        <v>382</v>
      </c>
      <c r="S247" s="34">
        <v>10</v>
      </c>
      <c r="T247" s="34"/>
      <c r="U247" s="35"/>
      <c r="V247" s="38">
        <f t="shared" si="6"/>
        <v>0</v>
      </c>
      <c r="W247" s="39" t="str">
        <f t="shared" si="7"/>
        <v/>
      </c>
    </row>
    <row r="248" spans="13:23" x14ac:dyDescent="0.2">
      <c r="M248" s="15" t="s">
        <v>264</v>
      </c>
      <c r="N248" s="14" t="s">
        <v>378</v>
      </c>
      <c r="O248" s="14" t="s">
        <v>379</v>
      </c>
      <c r="P248" s="14" t="s">
        <v>380</v>
      </c>
      <c r="Q248" s="14" t="s">
        <v>381</v>
      </c>
      <c r="R248" s="15" t="s">
        <v>382</v>
      </c>
      <c r="S248" s="34">
        <v>897.32</v>
      </c>
      <c r="T248" s="34">
        <v>1697.93</v>
      </c>
      <c r="U248" s="35">
        <v>745.26</v>
      </c>
      <c r="V248" s="38">
        <f t="shared" si="6"/>
        <v>-952.67000000000007</v>
      </c>
      <c r="W248" s="39">
        <f t="shared" si="7"/>
        <v>-0.56107731178552711</v>
      </c>
    </row>
    <row r="249" spans="13:23" x14ac:dyDescent="0.2">
      <c r="M249" s="15" t="s">
        <v>265</v>
      </c>
      <c r="N249" s="14" t="s">
        <v>378</v>
      </c>
      <c r="O249" s="14" t="s">
        <v>379</v>
      </c>
      <c r="P249" s="14" t="s">
        <v>380</v>
      </c>
      <c r="Q249" s="14" t="s">
        <v>381</v>
      </c>
      <c r="R249" s="15" t="s">
        <v>382</v>
      </c>
      <c r="S249" s="34">
        <v>98.07</v>
      </c>
      <c r="T249" s="34">
        <v>817.51</v>
      </c>
      <c r="U249" s="35">
        <v>104.31</v>
      </c>
      <c r="V249" s="38">
        <f t="shared" si="6"/>
        <v>-713.2</v>
      </c>
      <c r="W249" s="39">
        <f t="shared" si="7"/>
        <v>-0.87240523051705798</v>
      </c>
    </row>
    <row r="250" spans="13:23" x14ac:dyDescent="0.2">
      <c r="M250" s="15" t="s">
        <v>266</v>
      </c>
      <c r="N250" s="14" t="s">
        <v>378</v>
      </c>
      <c r="O250" s="14" t="s">
        <v>379</v>
      </c>
      <c r="P250" s="14" t="s">
        <v>380</v>
      </c>
      <c r="Q250" s="14" t="s">
        <v>381</v>
      </c>
      <c r="R250" s="15" t="s">
        <v>382</v>
      </c>
      <c r="S250" s="34">
        <v>204.27</v>
      </c>
      <c r="T250" s="34"/>
      <c r="U250" s="35"/>
      <c r="V250" s="38">
        <f t="shared" si="6"/>
        <v>0</v>
      </c>
      <c r="W250" s="39" t="str">
        <f t="shared" si="7"/>
        <v/>
      </c>
    </row>
    <row r="251" spans="13:23" x14ac:dyDescent="0.2">
      <c r="M251" s="15" t="s">
        <v>267</v>
      </c>
      <c r="N251" s="14" t="s">
        <v>378</v>
      </c>
      <c r="O251" s="14" t="s">
        <v>379</v>
      </c>
      <c r="P251" s="14" t="s">
        <v>380</v>
      </c>
      <c r="Q251" s="14" t="s">
        <v>381</v>
      </c>
      <c r="R251" s="15" t="s">
        <v>382</v>
      </c>
      <c r="S251" s="34">
        <v>1541.5</v>
      </c>
      <c r="T251" s="34">
        <v>10</v>
      </c>
      <c r="U251" s="35">
        <v>2147.25</v>
      </c>
      <c r="V251" s="38">
        <f t="shared" si="6"/>
        <v>2137.25</v>
      </c>
      <c r="W251" s="39" t="str">
        <f t="shared" si="7"/>
        <v>&gt;100%</v>
      </c>
    </row>
    <row r="252" spans="13:23" x14ac:dyDescent="0.2">
      <c r="M252" s="15" t="s">
        <v>268</v>
      </c>
      <c r="N252" s="14" t="s">
        <v>378</v>
      </c>
      <c r="O252" s="14" t="s">
        <v>379</v>
      </c>
      <c r="P252" s="14" t="s">
        <v>380</v>
      </c>
      <c r="Q252" s="14" t="s">
        <v>381</v>
      </c>
      <c r="R252" s="15" t="s">
        <v>382</v>
      </c>
      <c r="S252" s="34"/>
      <c r="T252" s="34">
        <v>181.75</v>
      </c>
      <c r="U252" s="35">
        <v>10</v>
      </c>
      <c r="V252" s="38">
        <f t="shared" si="6"/>
        <v>-171.75</v>
      </c>
      <c r="W252" s="39">
        <f t="shared" si="7"/>
        <v>-0.94497936726272347</v>
      </c>
    </row>
    <row r="253" spans="13:23" x14ac:dyDescent="0.2">
      <c r="M253" s="15" t="s">
        <v>269</v>
      </c>
      <c r="N253" s="14" t="s">
        <v>378</v>
      </c>
      <c r="O253" s="14" t="s">
        <v>379</v>
      </c>
      <c r="P253" s="14" t="s">
        <v>380</v>
      </c>
      <c r="Q253" s="14" t="s">
        <v>381</v>
      </c>
      <c r="R253" s="15" t="s">
        <v>382</v>
      </c>
      <c r="S253" s="34">
        <v>1355.48</v>
      </c>
      <c r="T253" s="34">
        <v>1102.1199999999999</v>
      </c>
      <c r="U253" s="35">
        <v>8982.34</v>
      </c>
      <c r="V253" s="38">
        <f t="shared" si="6"/>
        <v>7880.22</v>
      </c>
      <c r="W253" s="39" t="str">
        <f t="shared" si="7"/>
        <v>&gt;100%</v>
      </c>
    </row>
    <row r="254" spans="13:23" x14ac:dyDescent="0.2">
      <c r="M254" s="15" t="s">
        <v>270</v>
      </c>
      <c r="N254" s="14" t="s">
        <v>378</v>
      </c>
      <c r="O254" s="14" t="s">
        <v>379</v>
      </c>
      <c r="P254" s="14" t="s">
        <v>380</v>
      </c>
      <c r="Q254" s="14" t="s">
        <v>381</v>
      </c>
      <c r="R254" s="15" t="s">
        <v>382</v>
      </c>
      <c r="S254" s="34">
        <v>10</v>
      </c>
      <c r="T254" s="34">
        <v>58.77</v>
      </c>
      <c r="U254" s="35">
        <v>10</v>
      </c>
      <c r="V254" s="38">
        <f t="shared" si="6"/>
        <v>-48.77</v>
      </c>
      <c r="W254" s="39">
        <f t="shared" si="7"/>
        <v>-0.8298451590947763</v>
      </c>
    </row>
    <row r="255" spans="13:23" x14ac:dyDescent="0.2">
      <c r="M255" s="15" t="s">
        <v>271</v>
      </c>
      <c r="N255" s="14" t="s">
        <v>378</v>
      </c>
      <c r="O255" s="14" t="s">
        <v>379</v>
      </c>
      <c r="P255" s="14" t="s">
        <v>380</v>
      </c>
      <c r="Q255" s="14" t="s">
        <v>381</v>
      </c>
      <c r="R255" s="15" t="s">
        <v>382</v>
      </c>
      <c r="S255" s="34">
        <v>8008.2</v>
      </c>
      <c r="T255" s="34">
        <v>7778.28</v>
      </c>
      <c r="U255" s="35">
        <v>8670.14</v>
      </c>
      <c r="V255" s="38">
        <f t="shared" si="6"/>
        <v>891.85999999999967</v>
      </c>
      <c r="W255" s="39">
        <f t="shared" si="7"/>
        <v>0.11466031050566446</v>
      </c>
    </row>
    <row r="256" spans="13:23" x14ac:dyDescent="0.2">
      <c r="M256" s="15" t="s">
        <v>272</v>
      </c>
      <c r="N256" s="14" t="s">
        <v>378</v>
      </c>
      <c r="O256" s="14" t="s">
        <v>379</v>
      </c>
      <c r="P256" s="14" t="s">
        <v>380</v>
      </c>
      <c r="Q256" s="14" t="s">
        <v>381</v>
      </c>
      <c r="R256" s="15" t="s">
        <v>382</v>
      </c>
      <c r="S256" s="34">
        <v>10</v>
      </c>
      <c r="T256" s="34">
        <v>10</v>
      </c>
      <c r="U256" s="35">
        <v>239.17</v>
      </c>
      <c r="V256" s="38">
        <f t="shared" si="6"/>
        <v>229.17</v>
      </c>
      <c r="W256" s="39" t="str">
        <f t="shared" si="7"/>
        <v>&gt;100%</v>
      </c>
    </row>
    <row r="257" spans="13:23" x14ac:dyDescent="0.2">
      <c r="M257" s="15" t="s">
        <v>273</v>
      </c>
      <c r="N257" s="14" t="s">
        <v>378</v>
      </c>
      <c r="O257" s="14" t="s">
        <v>379</v>
      </c>
      <c r="P257" s="14" t="s">
        <v>380</v>
      </c>
      <c r="Q257" s="14" t="s">
        <v>381</v>
      </c>
      <c r="R257" s="15" t="s">
        <v>382</v>
      </c>
      <c r="S257" s="34">
        <v>75.459999999999994</v>
      </c>
      <c r="T257" s="34"/>
      <c r="U257" s="35"/>
      <c r="V257" s="38">
        <f t="shared" si="6"/>
        <v>0</v>
      </c>
      <c r="W257" s="39" t="str">
        <f t="shared" si="7"/>
        <v/>
      </c>
    </row>
    <row r="258" spans="13:23" x14ac:dyDescent="0.2">
      <c r="M258" s="15" t="s">
        <v>274</v>
      </c>
      <c r="N258" s="14" t="s">
        <v>378</v>
      </c>
      <c r="O258" s="14" t="s">
        <v>379</v>
      </c>
      <c r="P258" s="14" t="s">
        <v>380</v>
      </c>
      <c r="Q258" s="14" t="s">
        <v>381</v>
      </c>
      <c r="R258" s="15" t="s">
        <v>382</v>
      </c>
      <c r="S258" s="34">
        <v>494.2</v>
      </c>
      <c r="T258" s="34"/>
      <c r="U258" s="35"/>
      <c r="V258" s="38">
        <f t="shared" si="6"/>
        <v>0</v>
      </c>
      <c r="W258" s="39" t="str">
        <f t="shared" si="7"/>
        <v/>
      </c>
    </row>
    <row r="259" spans="13:23" x14ac:dyDescent="0.2">
      <c r="M259" s="15" t="s">
        <v>275</v>
      </c>
      <c r="N259" s="14" t="s">
        <v>378</v>
      </c>
      <c r="O259" s="14" t="s">
        <v>379</v>
      </c>
      <c r="P259" s="14" t="s">
        <v>380</v>
      </c>
      <c r="Q259" s="14" t="s">
        <v>381</v>
      </c>
      <c r="R259" s="15" t="s">
        <v>382</v>
      </c>
      <c r="S259" s="34">
        <v>180.03</v>
      </c>
      <c r="T259" s="34">
        <v>183.94</v>
      </c>
      <c r="U259" s="35">
        <v>8520.75</v>
      </c>
      <c r="V259" s="38">
        <f t="shared" si="6"/>
        <v>8336.81</v>
      </c>
      <c r="W259" s="39" t="str">
        <f t="shared" si="7"/>
        <v>&gt;100%</v>
      </c>
    </row>
    <row r="260" spans="13:23" x14ac:dyDescent="0.2">
      <c r="M260" s="15" t="s">
        <v>276</v>
      </c>
      <c r="N260" s="14" t="s">
        <v>378</v>
      </c>
      <c r="O260" s="14" t="s">
        <v>379</v>
      </c>
      <c r="P260" s="14" t="s">
        <v>380</v>
      </c>
      <c r="Q260" s="14" t="s">
        <v>381</v>
      </c>
      <c r="R260" s="15" t="s">
        <v>382</v>
      </c>
      <c r="S260" s="34">
        <v>3186.4</v>
      </c>
      <c r="T260" s="34">
        <v>592.92999999999995</v>
      </c>
      <c r="U260" s="35">
        <v>789.31</v>
      </c>
      <c r="V260" s="38">
        <f t="shared" si="6"/>
        <v>196.38</v>
      </c>
      <c r="W260" s="39">
        <f t="shared" si="7"/>
        <v>0.33120267147892668</v>
      </c>
    </row>
    <row r="261" spans="13:23" x14ac:dyDescent="0.2">
      <c r="M261" s="15" t="s">
        <v>277</v>
      </c>
      <c r="N261" s="14" t="s">
        <v>378</v>
      </c>
      <c r="O261" s="14" t="s">
        <v>379</v>
      </c>
      <c r="P261" s="14" t="s">
        <v>380</v>
      </c>
      <c r="Q261" s="14" t="s">
        <v>381</v>
      </c>
      <c r="R261" s="15" t="s">
        <v>382</v>
      </c>
      <c r="S261" s="34"/>
      <c r="T261" s="34">
        <v>279.39999999999998</v>
      </c>
      <c r="U261" s="35">
        <v>139.69999999999999</v>
      </c>
      <c r="V261" s="38">
        <f t="shared" ref="V261:V324" si="8">+U261-T261</f>
        <v>-139.69999999999999</v>
      </c>
      <c r="W261" s="39">
        <f t="shared" ref="W261:W324" si="9">IF(T261="","",IF(T261=0,"",IF(T261&lt;0,"",IF((V261/T261)&gt;1,"&gt;100%",IFERROR(V261/T261,"")))))</f>
        <v>-0.5</v>
      </c>
    </row>
    <row r="262" spans="13:23" x14ac:dyDescent="0.2">
      <c r="M262" s="15" t="s">
        <v>278</v>
      </c>
      <c r="N262" s="14" t="s">
        <v>378</v>
      </c>
      <c r="O262" s="14" t="s">
        <v>379</v>
      </c>
      <c r="P262" s="14" t="s">
        <v>380</v>
      </c>
      <c r="Q262" s="14" t="s">
        <v>381</v>
      </c>
      <c r="R262" s="15" t="s">
        <v>382</v>
      </c>
      <c r="S262" s="34">
        <v>11467.96</v>
      </c>
      <c r="T262" s="34">
        <v>8813.02</v>
      </c>
      <c r="U262" s="35">
        <v>4437.6499999999996</v>
      </c>
      <c r="V262" s="38">
        <f t="shared" si="8"/>
        <v>-4375.3700000000008</v>
      </c>
      <c r="W262" s="39">
        <f t="shared" si="9"/>
        <v>-0.49646659147488609</v>
      </c>
    </row>
    <row r="263" spans="13:23" x14ac:dyDescent="0.2">
      <c r="M263" s="15" t="s">
        <v>279</v>
      </c>
      <c r="N263" s="14" t="s">
        <v>378</v>
      </c>
      <c r="O263" s="14" t="s">
        <v>379</v>
      </c>
      <c r="P263" s="14" t="s">
        <v>380</v>
      </c>
      <c r="Q263" s="14" t="s">
        <v>381</v>
      </c>
      <c r="R263" s="15" t="s">
        <v>382</v>
      </c>
      <c r="S263" s="34">
        <v>2895.92</v>
      </c>
      <c r="T263" s="34">
        <v>2045.16</v>
      </c>
      <c r="U263" s="35">
        <v>1206.8499999999999</v>
      </c>
      <c r="V263" s="38">
        <f t="shared" si="8"/>
        <v>-838.31000000000017</v>
      </c>
      <c r="W263" s="39">
        <f t="shared" si="9"/>
        <v>-0.40989946996811993</v>
      </c>
    </row>
    <row r="264" spans="13:23" x14ac:dyDescent="0.2">
      <c r="M264" s="15" t="s">
        <v>280</v>
      </c>
      <c r="N264" s="14" t="s">
        <v>378</v>
      </c>
      <c r="O264" s="14" t="s">
        <v>379</v>
      </c>
      <c r="P264" s="14" t="s">
        <v>380</v>
      </c>
      <c r="Q264" s="14" t="s">
        <v>381</v>
      </c>
      <c r="R264" s="15" t="s">
        <v>382</v>
      </c>
      <c r="S264" s="34">
        <v>921.15</v>
      </c>
      <c r="T264" s="34">
        <v>2213.9499999999998</v>
      </c>
      <c r="U264" s="35">
        <v>8190.53</v>
      </c>
      <c r="V264" s="38">
        <f t="shared" si="8"/>
        <v>5976.58</v>
      </c>
      <c r="W264" s="39" t="str">
        <f t="shared" si="9"/>
        <v>&gt;100%</v>
      </c>
    </row>
    <row r="265" spans="13:23" x14ac:dyDescent="0.2">
      <c r="M265" s="15" t="s">
        <v>281</v>
      </c>
      <c r="N265" s="14" t="s">
        <v>378</v>
      </c>
      <c r="O265" s="14" t="s">
        <v>379</v>
      </c>
      <c r="P265" s="14" t="s">
        <v>380</v>
      </c>
      <c r="Q265" s="14" t="s">
        <v>381</v>
      </c>
      <c r="R265" s="15" t="s">
        <v>382</v>
      </c>
      <c r="S265" s="34">
        <v>1990.53</v>
      </c>
      <c r="T265" s="34">
        <v>3088</v>
      </c>
      <c r="U265" s="35">
        <v>960.76</v>
      </c>
      <c r="V265" s="38">
        <f t="shared" si="8"/>
        <v>-2127.2399999999998</v>
      </c>
      <c r="W265" s="39">
        <f t="shared" si="9"/>
        <v>-0.6888730569948186</v>
      </c>
    </row>
    <row r="266" spans="13:23" x14ac:dyDescent="0.2">
      <c r="M266" s="15" t="s">
        <v>282</v>
      </c>
      <c r="N266" s="14" t="s">
        <v>378</v>
      </c>
      <c r="O266" s="14" t="s">
        <v>379</v>
      </c>
      <c r="P266" s="14" t="s">
        <v>380</v>
      </c>
      <c r="Q266" s="14" t="s">
        <v>381</v>
      </c>
      <c r="R266" s="15" t="s">
        <v>382</v>
      </c>
      <c r="S266" s="34">
        <v>10</v>
      </c>
      <c r="T266" s="34"/>
      <c r="U266" s="35"/>
      <c r="V266" s="38">
        <f t="shared" si="8"/>
        <v>0</v>
      </c>
      <c r="W266" s="39" t="str">
        <f t="shared" si="9"/>
        <v/>
      </c>
    </row>
    <row r="267" spans="13:23" x14ac:dyDescent="0.2">
      <c r="M267" s="15" t="s">
        <v>283</v>
      </c>
      <c r="N267" s="14" t="s">
        <v>378</v>
      </c>
      <c r="O267" s="14" t="s">
        <v>379</v>
      </c>
      <c r="P267" s="14" t="s">
        <v>380</v>
      </c>
      <c r="Q267" s="14" t="s">
        <v>381</v>
      </c>
      <c r="R267" s="15" t="s">
        <v>382</v>
      </c>
      <c r="S267" s="34"/>
      <c r="T267" s="34">
        <v>10</v>
      </c>
      <c r="U267" s="35">
        <v>247.48</v>
      </c>
      <c r="V267" s="38">
        <f t="shared" si="8"/>
        <v>237.48</v>
      </c>
      <c r="W267" s="39" t="str">
        <f t="shared" si="9"/>
        <v>&gt;100%</v>
      </c>
    </row>
    <row r="268" spans="13:23" x14ac:dyDescent="0.2">
      <c r="M268" s="15" t="s">
        <v>284</v>
      </c>
      <c r="N268" s="14" t="s">
        <v>378</v>
      </c>
      <c r="O268" s="14" t="s">
        <v>379</v>
      </c>
      <c r="P268" s="14" t="s">
        <v>380</v>
      </c>
      <c r="Q268" s="14" t="s">
        <v>381</v>
      </c>
      <c r="R268" s="15" t="s">
        <v>382</v>
      </c>
      <c r="S268" s="34">
        <v>178</v>
      </c>
      <c r="T268" s="34"/>
      <c r="U268" s="35">
        <v>201.3</v>
      </c>
      <c r="V268" s="38">
        <f t="shared" si="8"/>
        <v>201.3</v>
      </c>
      <c r="W268" s="39" t="str">
        <f t="shared" si="9"/>
        <v/>
      </c>
    </row>
    <row r="269" spans="13:23" x14ac:dyDescent="0.2">
      <c r="M269" s="15" t="s">
        <v>285</v>
      </c>
      <c r="N269" s="14" t="s">
        <v>378</v>
      </c>
      <c r="O269" s="14" t="s">
        <v>379</v>
      </c>
      <c r="P269" s="14" t="s">
        <v>380</v>
      </c>
      <c r="Q269" s="14" t="s">
        <v>381</v>
      </c>
      <c r="R269" s="15" t="s">
        <v>382</v>
      </c>
      <c r="S269" s="34">
        <v>276.83</v>
      </c>
      <c r="T269" s="34"/>
      <c r="U269" s="35"/>
      <c r="V269" s="38">
        <f t="shared" si="8"/>
        <v>0</v>
      </c>
      <c r="W269" s="39" t="str">
        <f t="shared" si="9"/>
        <v/>
      </c>
    </row>
    <row r="270" spans="13:23" x14ac:dyDescent="0.2">
      <c r="M270" s="15" t="s">
        <v>286</v>
      </c>
      <c r="N270" s="14" t="s">
        <v>378</v>
      </c>
      <c r="O270" s="14" t="s">
        <v>379</v>
      </c>
      <c r="P270" s="14" t="s">
        <v>380</v>
      </c>
      <c r="Q270" s="14" t="s">
        <v>381</v>
      </c>
      <c r="R270" s="15" t="s">
        <v>382</v>
      </c>
      <c r="S270" s="34">
        <v>717.91</v>
      </c>
      <c r="T270" s="34"/>
      <c r="U270" s="35"/>
      <c r="V270" s="38">
        <f t="shared" si="8"/>
        <v>0</v>
      </c>
      <c r="W270" s="39" t="str">
        <f t="shared" si="9"/>
        <v/>
      </c>
    </row>
    <row r="271" spans="13:23" x14ac:dyDescent="0.2">
      <c r="M271" s="15" t="s">
        <v>287</v>
      </c>
      <c r="N271" s="14" t="s">
        <v>378</v>
      </c>
      <c r="O271" s="14" t="s">
        <v>379</v>
      </c>
      <c r="P271" s="14" t="s">
        <v>380</v>
      </c>
      <c r="Q271" s="14" t="s">
        <v>381</v>
      </c>
      <c r="R271" s="15" t="s">
        <v>382</v>
      </c>
      <c r="S271" s="34">
        <v>47.18</v>
      </c>
      <c r="T271" s="34"/>
      <c r="U271" s="35">
        <v>2868.95</v>
      </c>
      <c r="V271" s="38">
        <f t="shared" si="8"/>
        <v>2868.95</v>
      </c>
      <c r="W271" s="39" t="str">
        <f t="shared" si="9"/>
        <v/>
      </c>
    </row>
    <row r="272" spans="13:23" x14ac:dyDescent="0.2">
      <c r="M272" s="15" t="s">
        <v>288</v>
      </c>
      <c r="N272" s="14" t="s">
        <v>378</v>
      </c>
      <c r="O272" s="14" t="s">
        <v>379</v>
      </c>
      <c r="P272" s="14" t="s">
        <v>380</v>
      </c>
      <c r="Q272" s="14" t="s">
        <v>381</v>
      </c>
      <c r="R272" s="15" t="s">
        <v>382</v>
      </c>
      <c r="S272" s="34">
        <v>1655.26</v>
      </c>
      <c r="T272" s="34">
        <v>2100.7800000000002</v>
      </c>
      <c r="U272" s="35">
        <v>1364.48</v>
      </c>
      <c r="V272" s="38">
        <f t="shared" si="8"/>
        <v>-736.30000000000018</v>
      </c>
      <c r="W272" s="39">
        <f t="shared" si="9"/>
        <v>-0.35048886604023272</v>
      </c>
    </row>
    <row r="273" spans="13:23" x14ac:dyDescent="0.2">
      <c r="M273" s="15" t="s">
        <v>289</v>
      </c>
      <c r="N273" s="14" t="s">
        <v>378</v>
      </c>
      <c r="O273" s="14" t="s">
        <v>379</v>
      </c>
      <c r="P273" s="14" t="s">
        <v>380</v>
      </c>
      <c r="Q273" s="14" t="s">
        <v>381</v>
      </c>
      <c r="R273" s="15" t="s">
        <v>382</v>
      </c>
      <c r="S273" s="34">
        <v>305.70999999999998</v>
      </c>
      <c r="T273" s="34">
        <v>365.16</v>
      </c>
      <c r="U273" s="35"/>
      <c r="V273" s="38">
        <f t="shared" si="8"/>
        <v>-365.16</v>
      </c>
      <c r="W273" s="39">
        <f t="shared" si="9"/>
        <v>-1</v>
      </c>
    </row>
    <row r="274" spans="13:23" x14ac:dyDescent="0.2">
      <c r="M274" s="15" t="s">
        <v>290</v>
      </c>
      <c r="N274" s="14" t="s">
        <v>378</v>
      </c>
      <c r="O274" s="14" t="s">
        <v>379</v>
      </c>
      <c r="P274" s="14" t="s">
        <v>380</v>
      </c>
      <c r="Q274" s="14" t="s">
        <v>381</v>
      </c>
      <c r="R274" s="15" t="s">
        <v>382</v>
      </c>
      <c r="S274" s="34">
        <v>1284.56</v>
      </c>
      <c r="T274" s="34">
        <v>2427.44</v>
      </c>
      <c r="U274" s="35">
        <v>6120.09</v>
      </c>
      <c r="V274" s="38">
        <f t="shared" si="8"/>
        <v>3692.65</v>
      </c>
      <c r="W274" s="39" t="str">
        <f t="shared" si="9"/>
        <v>&gt;100%</v>
      </c>
    </row>
    <row r="275" spans="13:23" x14ac:dyDescent="0.2">
      <c r="M275" s="15" t="s">
        <v>291</v>
      </c>
      <c r="N275" s="14" t="s">
        <v>378</v>
      </c>
      <c r="O275" s="14" t="s">
        <v>379</v>
      </c>
      <c r="P275" s="14" t="s">
        <v>380</v>
      </c>
      <c r="Q275" s="14" t="s">
        <v>381</v>
      </c>
      <c r="R275" s="15" t="s">
        <v>382</v>
      </c>
      <c r="S275" s="34">
        <v>1070.99</v>
      </c>
      <c r="T275" s="34"/>
      <c r="U275" s="35">
        <v>364.66</v>
      </c>
      <c r="V275" s="38">
        <f t="shared" si="8"/>
        <v>364.66</v>
      </c>
      <c r="W275" s="39" t="str">
        <f t="shared" si="9"/>
        <v/>
      </c>
    </row>
    <row r="276" spans="13:23" x14ac:dyDescent="0.2">
      <c r="M276" s="15" t="s">
        <v>292</v>
      </c>
      <c r="N276" s="14" t="s">
        <v>378</v>
      </c>
      <c r="O276" s="14" t="s">
        <v>379</v>
      </c>
      <c r="P276" s="14" t="s">
        <v>380</v>
      </c>
      <c r="Q276" s="14" t="s">
        <v>381</v>
      </c>
      <c r="R276" s="15" t="s">
        <v>382</v>
      </c>
      <c r="S276" s="34">
        <v>483.19</v>
      </c>
      <c r="T276" s="34">
        <v>320.66000000000003</v>
      </c>
      <c r="U276" s="35">
        <v>483.2</v>
      </c>
      <c r="V276" s="38">
        <f t="shared" si="8"/>
        <v>162.53999999999996</v>
      </c>
      <c r="W276" s="39">
        <f t="shared" si="9"/>
        <v>0.50689203517744641</v>
      </c>
    </row>
    <row r="277" spans="13:23" x14ac:dyDescent="0.2">
      <c r="M277" s="15" t="s">
        <v>293</v>
      </c>
      <c r="N277" s="14" t="s">
        <v>378</v>
      </c>
      <c r="O277" s="14" t="s">
        <v>379</v>
      </c>
      <c r="P277" s="14" t="s">
        <v>380</v>
      </c>
      <c r="Q277" s="14" t="s">
        <v>381</v>
      </c>
      <c r="R277" s="15" t="s">
        <v>382</v>
      </c>
      <c r="S277" s="34">
        <v>2559.0100000000002</v>
      </c>
      <c r="T277" s="34">
        <v>8510.0300000000007</v>
      </c>
      <c r="U277" s="35">
        <v>28249.93</v>
      </c>
      <c r="V277" s="38">
        <f t="shared" si="8"/>
        <v>19739.900000000001</v>
      </c>
      <c r="W277" s="39" t="str">
        <f t="shared" si="9"/>
        <v>&gt;100%</v>
      </c>
    </row>
    <row r="278" spans="13:23" x14ac:dyDescent="0.2">
      <c r="M278" s="15" t="s">
        <v>294</v>
      </c>
      <c r="N278" s="14" t="s">
        <v>378</v>
      </c>
      <c r="O278" s="14" t="s">
        <v>379</v>
      </c>
      <c r="P278" s="14" t="s">
        <v>380</v>
      </c>
      <c r="Q278" s="14" t="s">
        <v>381</v>
      </c>
      <c r="R278" s="15" t="s">
        <v>382</v>
      </c>
      <c r="S278" s="34">
        <v>104617.72</v>
      </c>
      <c r="T278" s="34">
        <v>64671.17</v>
      </c>
      <c r="U278" s="35">
        <v>87418.42</v>
      </c>
      <c r="V278" s="38">
        <f t="shared" si="8"/>
        <v>22747.25</v>
      </c>
      <c r="W278" s="39">
        <f t="shared" si="9"/>
        <v>0.35173710325636603</v>
      </c>
    </row>
    <row r="279" spans="13:23" x14ac:dyDescent="0.2">
      <c r="M279" s="15" t="s">
        <v>295</v>
      </c>
      <c r="N279" s="14" t="s">
        <v>378</v>
      </c>
      <c r="O279" s="14" t="s">
        <v>379</v>
      </c>
      <c r="P279" s="14" t="s">
        <v>380</v>
      </c>
      <c r="Q279" s="14" t="s">
        <v>381</v>
      </c>
      <c r="R279" s="15" t="s">
        <v>382</v>
      </c>
      <c r="S279" s="34">
        <v>637.66999999999996</v>
      </c>
      <c r="T279" s="34">
        <v>1471.41</v>
      </c>
      <c r="U279" s="35">
        <v>270.95999999999998</v>
      </c>
      <c r="V279" s="38">
        <f t="shared" si="8"/>
        <v>-1200.45</v>
      </c>
      <c r="W279" s="39">
        <f t="shared" si="9"/>
        <v>-0.81585010296246452</v>
      </c>
    </row>
    <row r="280" spans="13:23" x14ac:dyDescent="0.2">
      <c r="M280" s="15" t="s">
        <v>296</v>
      </c>
      <c r="N280" s="14" t="s">
        <v>378</v>
      </c>
      <c r="O280" s="14" t="s">
        <v>379</v>
      </c>
      <c r="P280" s="14" t="s">
        <v>380</v>
      </c>
      <c r="Q280" s="14" t="s">
        <v>381</v>
      </c>
      <c r="R280" s="15" t="s">
        <v>382</v>
      </c>
      <c r="S280" s="34">
        <v>1936.67</v>
      </c>
      <c r="T280" s="34"/>
      <c r="U280" s="35">
        <v>665.77</v>
      </c>
      <c r="V280" s="38">
        <f t="shared" si="8"/>
        <v>665.77</v>
      </c>
      <c r="W280" s="39" t="str">
        <f t="shared" si="9"/>
        <v/>
      </c>
    </row>
    <row r="281" spans="13:23" x14ac:dyDescent="0.2">
      <c r="M281" s="15" t="s">
        <v>297</v>
      </c>
      <c r="N281" s="14" t="s">
        <v>378</v>
      </c>
      <c r="O281" s="14" t="s">
        <v>379</v>
      </c>
      <c r="P281" s="14" t="s">
        <v>380</v>
      </c>
      <c r="Q281" s="14" t="s">
        <v>381</v>
      </c>
      <c r="R281" s="15" t="s">
        <v>382</v>
      </c>
      <c r="S281" s="34">
        <v>256140.61</v>
      </c>
      <c r="T281" s="34">
        <v>161057.72</v>
      </c>
      <c r="U281" s="35">
        <v>175374.66</v>
      </c>
      <c r="V281" s="38">
        <f t="shared" si="8"/>
        <v>14316.940000000002</v>
      </c>
      <c r="W281" s="39">
        <f t="shared" si="9"/>
        <v>8.8893224118657604E-2</v>
      </c>
    </row>
    <row r="282" spans="13:23" x14ac:dyDescent="0.2">
      <c r="M282" s="15" t="s">
        <v>298</v>
      </c>
      <c r="N282" s="14" t="s">
        <v>378</v>
      </c>
      <c r="O282" s="14" t="s">
        <v>379</v>
      </c>
      <c r="P282" s="14" t="s">
        <v>380</v>
      </c>
      <c r="Q282" s="14" t="s">
        <v>381</v>
      </c>
      <c r="R282" s="15" t="s">
        <v>382</v>
      </c>
      <c r="S282" s="34">
        <v>3601.75</v>
      </c>
      <c r="T282" s="34">
        <v>15165.94</v>
      </c>
      <c r="U282" s="35">
        <v>2385.0100000000002</v>
      </c>
      <c r="V282" s="38">
        <f t="shared" si="8"/>
        <v>-12780.93</v>
      </c>
      <c r="W282" s="39">
        <f t="shared" si="9"/>
        <v>-0.84273905870654897</v>
      </c>
    </row>
    <row r="283" spans="13:23" x14ac:dyDescent="0.2">
      <c r="M283" s="15" t="s">
        <v>299</v>
      </c>
      <c r="N283" s="14" t="s">
        <v>378</v>
      </c>
      <c r="O283" s="14" t="s">
        <v>379</v>
      </c>
      <c r="P283" s="14" t="s">
        <v>380</v>
      </c>
      <c r="Q283" s="14" t="s">
        <v>381</v>
      </c>
      <c r="R283" s="15" t="s">
        <v>382</v>
      </c>
      <c r="S283" s="34">
        <v>94.85</v>
      </c>
      <c r="T283" s="34">
        <v>0</v>
      </c>
      <c r="U283" s="35">
        <v>3146.7</v>
      </c>
      <c r="V283" s="38">
        <f t="shared" si="8"/>
        <v>3146.7</v>
      </c>
      <c r="W283" s="39" t="str">
        <f t="shared" si="9"/>
        <v/>
      </c>
    </row>
    <row r="284" spans="13:23" x14ac:dyDescent="0.2">
      <c r="M284" s="15" t="s">
        <v>300</v>
      </c>
      <c r="N284" s="14" t="s">
        <v>378</v>
      </c>
      <c r="O284" s="14" t="s">
        <v>379</v>
      </c>
      <c r="P284" s="14" t="s">
        <v>380</v>
      </c>
      <c r="Q284" s="14" t="s">
        <v>381</v>
      </c>
      <c r="R284" s="15" t="s">
        <v>382</v>
      </c>
      <c r="S284" s="34">
        <v>1682.9</v>
      </c>
      <c r="T284" s="34"/>
      <c r="U284" s="35"/>
      <c r="V284" s="38">
        <f t="shared" si="8"/>
        <v>0</v>
      </c>
      <c r="W284" s="39" t="str">
        <f t="shared" si="9"/>
        <v/>
      </c>
    </row>
    <row r="285" spans="13:23" x14ac:dyDescent="0.2">
      <c r="M285" s="15" t="s">
        <v>301</v>
      </c>
      <c r="N285" s="14" t="s">
        <v>378</v>
      </c>
      <c r="O285" s="14" t="s">
        <v>379</v>
      </c>
      <c r="P285" s="14" t="s">
        <v>380</v>
      </c>
      <c r="Q285" s="14" t="s">
        <v>381</v>
      </c>
      <c r="R285" s="15" t="s">
        <v>382</v>
      </c>
      <c r="S285" s="34">
        <v>4925.6099999999997</v>
      </c>
      <c r="T285" s="34">
        <v>611.85</v>
      </c>
      <c r="U285" s="35">
        <v>2180.42</v>
      </c>
      <c r="V285" s="38">
        <f t="shared" si="8"/>
        <v>1568.5700000000002</v>
      </c>
      <c r="W285" s="39" t="str">
        <f t="shared" si="9"/>
        <v>&gt;100%</v>
      </c>
    </row>
    <row r="286" spans="13:23" x14ac:dyDescent="0.2">
      <c r="M286" s="15" t="s">
        <v>302</v>
      </c>
      <c r="N286" s="14" t="s">
        <v>378</v>
      </c>
      <c r="O286" s="14" t="s">
        <v>379</v>
      </c>
      <c r="P286" s="14" t="s">
        <v>380</v>
      </c>
      <c r="Q286" s="14" t="s">
        <v>381</v>
      </c>
      <c r="R286" s="15" t="s">
        <v>382</v>
      </c>
      <c r="S286" s="34">
        <v>553.88</v>
      </c>
      <c r="T286" s="34">
        <v>428.1</v>
      </c>
      <c r="U286" s="35"/>
      <c r="V286" s="38">
        <f t="shared" si="8"/>
        <v>-428.1</v>
      </c>
      <c r="W286" s="39">
        <f t="shared" si="9"/>
        <v>-1</v>
      </c>
    </row>
    <row r="287" spans="13:23" x14ac:dyDescent="0.2">
      <c r="M287" s="15" t="s">
        <v>303</v>
      </c>
      <c r="N287" s="14" t="s">
        <v>378</v>
      </c>
      <c r="O287" s="14" t="s">
        <v>379</v>
      </c>
      <c r="P287" s="14" t="s">
        <v>380</v>
      </c>
      <c r="Q287" s="14" t="s">
        <v>381</v>
      </c>
      <c r="R287" s="15" t="s">
        <v>382</v>
      </c>
      <c r="S287" s="34">
        <v>340.82</v>
      </c>
      <c r="T287" s="34">
        <v>380.03</v>
      </c>
      <c r="U287" s="35">
        <v>720.64</v>
      </c>
      <c r="V287" s="38">
        <f t="shared" si="8"/>
        <v>340.61</v>
      </c>
      <c r="W287" s="39">
        <f t="shared" si="9"/>
        <v>0.89627134699892119</v>
      </c>
    </row>
    <row r="288" spans="13:23" x14ac:dyDescent="0.2">
      <c r="M288" s="15" t="s">
        <v>304</v>
      </c>
      <c r="N288" s="14" t="s">
        <v>378</v>
      </c>
      <c r="O288" s="14" t="s">
        <v>379</v>
      </c>
      <c r="P288" s="14" t="s">
        <v>380</v>
      </c>
      <c r="Q288" s="14" t="s">
        <v>381</v>
      </c>
      <c r="R288" s="15" t="s">
        <v>382</v>
      </c>
      <c r="S288" s="34">
        <v>10</v>
      </c>
      <c r="T288" s="34">
        <v>2668.75</v>
      </c>
      <c r="U288" s="35">
        <v>892.3</v>
      </c>
      <c r="V288" s="38">
        <f t="shared" si="8"/>
        <v>-1776.45</v>
      </c>
      <c r="W288" s="39">
        <f t="shared" si="9"/>
        <v>-0.66564871194379394</v>
      </c>
    </row>
    <row r="289" spans="13:23" x14ac:dyDescent="0.2">
      <c r="M289" s="15" t="s">
        <v>305</v>
      </c>
      <c r="N289" s="14" t="s">
        <v>378</v>
      </c>
      <c r="O289" s="14" t="s">
        <v>379</v>
      </c>
      <c r="P289" s="14" t="s">
        <v>380</v>
      </c>
      <c r="Q289" s="14" t="s">
        <v>381</v>
      </c>
      <c r="R289" s="15" t="s">
        <v>382</v>
      </c>
      <c r="S289" s="34"/>
      <c r="T289" s="34">
        <v>39.5</v>
      </c>
      <c r="U289" s="35"/>
      <c r="V289" s="38">
        <f t="shared" si="8"/>
        <v>-39.5</v>
      </c>
      <c r="W289" s="39">
        <f t="shared" si="9"/>
        <v>-1</v>
      </c>
    </row>
    <row r="290" spans="13:23" x14ac:dyDescent="0.2">
      <c r="M290" s="15" t="s">
        <v>306</v>
      </c>
      <c r="N290" s="14" t="s">
        <v>378</v>
      </c>
      <c r="O290" s="14" t="s">
        <v>379</v>
      </c>
      <c r="P290" s="14" t="s">
        <v>380</v>
      </c>
      <c r="Q290" s="14" t="s">
        <v>381</v>
      </c>
      <c r="R290" s="15" t="s">
        <v>382</v>
      </c>
      <c r="S290" s="34">
        <v>825.62</v>
      </c>
      <c r="T290" s="34">
        <v>225.76</v>
      </c>
      <c r="U290" s="35">
        <v>296</v>
      </c>
      <c r="V290" s="38">
        <f t="shared" si="8"/>
        <v>70.240000000000009</v>
      </c>
      <c r="W290" s="39">
        <f t="shared" si="9"/>
        <v>0.31112686038270737</v>
      </c>
    </row>
    <row r="291" spans="13:23" x14ac:dyDescent="0.2">
      <c r="M291" s="15" t="s">
        <v>307</v>
      </c>
      <c r="N291" s="14" t="s">
        <v>378</v>
      </c>
      <c r="O291" s="14" t="s">
        <v>379</v>
      </c>
      <c r="P291" s="14" t="s">
        <v>380</v>
      </c>
      <c r="Q291" s="14" t="s">
        <v>381</v>
      </c>
      <c r="R291" s="15" t="s">
        <v>382</v>
      </c>
      <c r="S291" s="34"/>
      <c r="T291" s="34"/>
      <c r="U291" s="35">
        <v>81.400000000000006</v>
      </c>
      <c r="V291" s="38">
        <f t="shared" si="8"/>
        <v>81.400000000000006</v>
      </c>
      <c r="W291" s="39" t="str">
        <f t="shared" si="9"/>
        <v/>
      </c>
    </row>
    <row r="292" spans="13:23" x14ac:dyDescent="0.2">
      <c r="M292" s="15" t="s">
        <v>308</v>
      </c>
      <c r="N292" s="14" t="s">
        <v>378</v>
      </c>
      <c r="O292" s="14" t="s">
        <v>379</v>
      </c>
      <c r="P292" s="14" t="s">
        <v>380</v>
      </c>
      <c r="Q292" s="14" t="s">
        <v>381</v>
      </c>
      <c r="R292" s="15" t="s">
        <v>382</v>
      </c>
      <c r="S292" s="34">
        <v>567.63</v>
      </c>
      <c r="T292" s="34">
        <v>1266.96</v>
      </c>
      <c r="U292" s="35">
        <v>996.58</v>
      </c>
      <c r="V292" s="38">
        <f t="shared" si="8"/>
        <v>-270.38</v>
      </c>
      <c r="W292" s="39">
        <f t="shared" si="9"/>
        <v>-0.2134084738271137</v>
      </c>
    </row>
    <row r="293" spans="13:23" x14ac:dyDescent="0.2">
      <c r="M293" s="15" t="s">
        <v>309</v>
      </c>
      <c r="N293" s="14" t="s">
        <v>378</v>
      </c>
      <c r="O293" s="14" t="s">
        <v>379</v>
      </c>
      <c r="P293" s="14" t="s">
        <v>380</v>
      </c>
      <c r="Q293" s="14" t="s">
        <v>381</v>
      </c>
      <c r="R293" s="15" t="s">
        <v>382</v>
      </c>
      <c r="S293" s="34">
        <v>589.29</v>
      </c>
      <c r="T293" s="34">
        <v>2842.6</v>
      </c>
      <c r="U293" s="35">
        <v>4712.53</v>
      </c>
      <c r="V293" s="38">
        <f t="shared" si="8"/>
        <v>1869.9299999999998</v>
      </c>
      <c r="W293" s="39">
        <f t="shared" si="9"/>
        <v>0.65782382326039535</v>
      </c>
    </row>
    <row r="294" spans="13:23" x14ac:dyDescent="0.2">
      <c r="M294" s="15" t="s">
        <v>310</v>
      </c>
      <c r="N294" s="14" t="s">
        <v>378</v>
      </c>
      <c r="O294" s="14" t="s">
        <v>379</v>
      </c>
      <c r="P294" s="14" t="s">
        <v>380</v>
      </c>
      <c r="Q294" s="14" t="s">
        <v>381</v>
      </c>
      <c r="R294" s="15" t="s">
        <v>382</v>
      </c>
      <c r="S294" s="34"/>
      <c r="T294" s="34">
        <v>1755</v>
      </c>
      <c r="U294" s="35"/>
      <c r="V294" s="38">
        <f t="shared" si="8"/>
        <v>-1755</v>
      </c>
      <c r="W294" s="39">
        <f t="shared" si="9"/>
        <v>-1</v>
      </c>
    </row>
    <row r="295" spans="13:23" x14ac:dyDescent="0.2">
      <c r="M295" s="15" t="s">
        <v>311</v>
      </c>
      <c r="N295" s="14" t="s">
        <v>378</v>
      </c>
      <c r="O295" s="14" t="s">
        <v>379</v>
      </c>
      <c r="P295" s="14" t="s">
        <v>380</v>
      </c>
      <c r="Q295" s="14" t="s">
        <v>381</v>
      </c>
      <c r="R295" s="15" t="s">
        <v>382</v>
      </c>
      <c r="S295" s="34">
        <v>1249.27</v>
      </c>
      <c r="T295" s="34">
        <v>317.5</v>
      </c>
      <c r="U295" s="35">
        <v>159.5</v>
      </c>
      <c r="V295" s="38">
        <f t="shared" si="8"/>
        <v>-158</v>
      </c>
      <c r="W295" s="39">
        <f t="shared" si="9"/>
        <v>-0.49763779527559054</v>
      </c>
    </row>
    <row r="296" spans="13:23" x14ac:dyDescent="0.2">
      <c r="M296" s="15" t="s">
        <v>312</v>
      </c>
      <c r="N296" s="14" t="s">
        <v>378</v>
      </c>
      <c r="O296" s="14" t="s">
        <v>379</v>
      </c>
      <c r="P296" s="14" t="s">
        <v>380</v>
      </c>
      <c r="Q296" s="14" t="s">
        <v>381</v>
      </c>
      <c r="R296" s="15" t="s">
        <v>382</v>
      </c>
      <c r="S296" s="34">
        <v>10</v>
      </c>
      <c r="T296" s="34"/>
      <c r="U296" s="35"/>
      <c r="V296" s="38">
        <f t="shared" si="8"/>
        <v>0</v>
      </c>
      <c r="W296" s="39" t="str">
        <f t="shared" si="9"/>
        <v/>
      </c>
    </row>
    <row r="297" spans="13:23" x14ac:dyDescent="0.2">
      <c r="M297" s="15" t="s">
        <v>313</v>
      </c>
      <c r="N297" s="14" t="s">
        <v>378</v>
      </c>
      <c r="O297" s="14" t="s">
        <v>379</v>
      </c>
      <c r="P297" s="14" t="s">
        <v>380</v>
      </c>
      <c r="Q297" s="14" t="s">
        <v>381</v>
      </c>
      <c r="R297" s="15" t="s">
        <v>382</v>
      </c>
      <c r="S297" s="34">
        <v>747.72</v>
      </c>
      <c r="T297" s="34">
        <v>227.72</v>
      </c>
      <c r="U297" s="35"/>
      <c r="V297" s="38">
        <f t="shared" si="8"/>
        <v>-227.72</v>
      </c>
      <c r="W297" s="39">
        <f t="shared" si="9"/>
        <v>-1</v>
      </c>
    </row>
    <row r="298" spans="13:23" x14ac:dyDescent="0.2">
      <c r="M298" s="15" t="s">
        <v>314</v>
      </c>
      <c r="N298" s="14" t="s">
        <v>378</v>
      </c>
      <c r="O298" s="14" t="s">
        <v>379</v>
      </c>
      <c r="P298" s="14" t="s">
        <v>380</v>
      </c>
      <c r="Q298" s="14" t="s">
        <v>381</v>
      </c>
      <c r="R298" s="15" t="s">
        <v>382</v>
      </c>
      <c r="S298" s="34"/>
      <c r="T298" s="34">
        <v>1164.8800000000001</v>
      </c>
      <c r="U298" s="35">
        <v>561.24</v>
      </c>
      <c r="V298" s="38">
        <f t="shared" si="8"/>
        <v>-603.6400000000001</v>
      </c>
      <c r="W298" s="39">
        <f t="shared" si="9"/>
        <v>-0.51819929949866084</v>
      </c>
    </row>
    <row r="299" spans="13:23" x14ac:dyDescent="0.2">
      <c r="M299" s="15" t="s">
        <v>315</v>
      </c>
      <c r="N299" s="14" t="s">
        <v>378</v>
      </c>
      <c r="O299" s="14" t="s">
        <v>379</v>
      </c>
      <c r="P299" s="14" t="s">
        <v>380</v>
      </c>
      <c r="Q299" s="14" t="s">
        <v>381</v>
      </c>
      <c r="R299" s="15" t="s">
        <v>382</v>
      </c>
      <c r="S299" s="34">
        <v>1216.5</v>
      </c>
      <c r="T299" s="34"/>
      <c r="U299" s="35"/>
      <c r="V299" s="38">
        <f t="shared" si="8"/>
        <v>0</v>
      </c>
      <c r="W299" s="39" t="str">
        <f t="shared" si="9"/>
        <v/>
      </c>
    </row>
    <row r="300" spans="13:23" x14ac:dyDescent="0.2">
      <c r="M300" s="15" t="s">
        <v>316</v>
      </c>
      <c r="N300" s="14" t="s">
        <v>378</v>
      </c>
      <c r="O300" s="14" t="s">
        <v>379</v>
      </c>
      <c r="P300" s="14" t="s">
        <v>380</v>
      </c>
      <c r="Q300" s="14" t="s">
        <v>381</v>
      </c>
      <c r="R300" s="15" t="s">
        <v>382</v>
      </c>
      <c r="S300" s="34">
        <v>3657.03</v>
      </c>
      <c r="T300" s="34">
        <v>9327.36</v>
      </c>
      <c r="U300" s="35">
        <v>12601.82</v>
      </c>
      <c r="V300" s="38">
        <f t="shared" si="8"/>
        <v>3274.4599999999991</v>
      </c>
      <c r="W300" s="39">
        <f t="shared" si="9"/>
        <v>0.3510596781940441</v>
      </c>
    </row>
    <row r="301" spans="13:23" x14ac:dyDescent="0.2">
      <c r="M301" s="15" t="s">
        <v>317</v>
      </c>
      <c r="N301" s="14" t="s">
        <v>378</v>
      </c>
      <c r="O301" s="14" t="s">
        <v>379</v>
      </c>
      <c r="P301" s="14" t="s">
        <v>380</v>
      </c>
      <c r="Q301" s="14" t="s">
        <v>381</v>
      </c>
      <c r="R301" s="15" t="s">
        <v>382</v>
      </c>
      <c r="S301" s="34">
        <v>658.1</v>
      </c>
      <c r="T301" s="34"/>
      <c r="U301" s="35">
        <v>709.56</v>
      </c>
      <c r="V301" s="38">
        <f t="shared" si="8"/>
        <v>709.56</v>
      </c>
      <c r="W301" s="39" t="str">
        <f t="shared" si="9"/>
        <v/>
      </c>
    </row>
    <row r="302" spans="13:23" x14ac:dyDescent="0.2">
      <c r="M302" s="15" t="s">
        <v>318</v>
      </c>
      <c r="N302" s="14" t="s">
        <v>378</v>
      </c>
      <c r="O302" s="14" t="s">
        <v>379</v>
      </c>
      <c r="P302" s="14" t="s">
        <v>380</v>
      </c>
      <c r="Q302" s="14" t="s">
        <v>381</v>
      </c>
      <c r="R302" s="15" t="s">
        <v>382</v>
      </c>
      <c r="S302" s="34">
        <v>29877.78</v>
      </c>
      <c r="T302" s="34">
        <v>24732.639999999999</v>
      </c>
      <c r="U302" s="35">
        <v>5791.88</v>
      </c>
      <c r="V302" s="38">
        <f t="shared" si="8"/>
        <v>-18940.759999999998</v>
      </c>
      <c r="W302" s="39">
        <f t="shared" si="9"/>
        <v>-0.76582038957426291</v>
      </c>
    </row>
    <row r="303" spans="13:23" x14ac:dyDescent="0.2">
      <c r="M303" s="15" t="s">
        <v>319</v>
      </c>
      <c r="N303" s="14" t="s">
        <v>378</v>
      </c>
      <c r="O303" s="14" t="s">
        <v>379</v>
      </c>
      <c r="P303" s="14" t="s">
        <v>380</v>
      </c>
      <c r="Q303" s="14" t="s">
        <v>381</v>
      </c>
      <c r="R303" s="15" t="s">
        <v>382</v>
      </c>
      <c r="S303" s="34">
        <v>2120.39</v>
      </c>
      <c r="T303" s="34">
        <v>1181.1300000000001</v>
      </c>
      <c r="U303" s="35">
        <v>1032.42</v>
      </c>
      <c r="V303" s="38">
        <f t="shared" si="8"/>
        <v>-148.71000000000004</v>
      </c>
      <c r="W303" s="39">
        <f t="shared" si="9"/>
        <v>-0.12590485382642047</v>
      </c>
    </row>
    <row r="304" spans="13:23" x14ac:dyDescent="0.2">
      <c r="M304" s="15" t="s">
        <v>320</v>
      </c>
      <c r="N304" s="14" t="s">
        <v>378</v>
      </c>
      <c r="O304" s="14" t="s">
        <v>379</v>
      </c>
      <c r="P304" s="14" t="s">
        <v>380</v>
      </c>
      <c r="Q304" s="14" t="s">
        <v>381</v>
      </c>
      <c r="R304" s="15" t="s">
        <v>382</v>
      </c>
      <c r="S304" s="34">
        <v>258.58</v>
      </c>
      <c r="T304" s="34">
        <v>75.790000000000006</v>
      </c>
      <c r="U304" s="35">
        <v>81.47</v>
      </c>
      <c r="V304" s="38">
        <f t="shared" si="8"/>
        <v>5.6799999999999926</v>
      </c>
      <c r="W304" s="39">
        <f t="shared" si="9"/>
        <v>7.494392400052767E-2</v>
      </c>
    </row>
    <row r="305" spans="13:23" x14ac:dyDescent="0.2">
      <c r="M305" s="15" t="s">
        <v>321</v>
      </c>
      <c r="N305" s="14" t="s">
        <v>378</v>
      </c>
      <c r="O305" s="14" t="s">
        <v>379</v>
      </c>
      <c r="P305" s="14" t="s">
        <v>380</v>
      </c>
      <c r="Q305" s="14" t="s">
        <v>381</v>
      </c>
      <c r="R305" s="15" t="s">
        <v>382</v>
      </c>
      <c r="S305" s="34">
        <v>607.21</v>
      </c>
      <c r="T305" s="34">
        <v>3255.94</v>
      </c>
      <c r="U305" s="35">
        <v>1786.82</v>
      </c>
      <c r="V305" s="38">
        <f t="shared" si="8"/>
        <v>-1469.1200000000001</v>
      </c>
      <c r="W305" s="39">
        <f t="shared" si="9"/>
        <v>-0.45121224592590775</v>
      </c>
    </row>
    <row r="306" spans="13:23" x14ac:dyDescent="0.2">
      <c r="M306" s="15" t="s">
        <v>322</v>
      </c>
      <c r="N306" s="14" t="s">
        <v>378</v>
      </c>
      <c r="O306" s="14" t="s">
        <v>379</v>
      </c>
      <c r="P306" s="14" t="s">
        <v>380</v>
      </c>
      <c r="Q306" s="14" t="s">
        <v>381</v>
      </c>
      <c r="R306" s="15" t="s">
        <v>382</v>
      </c>
      <c r="S306" s="34">
        <v>560.44000000000005</v>
      </c>
      <c r="T306" s="34">
        <v>519.35</v>
      </c>
      <c r="U306" s="35">
        <v>210</v>
      </c>
      <c r="V306" s="38">
        <f t="shared" si="8"/>
        <v>-309.35000000000002</v>
      </c>
      <c r="W306" s="39">
        <f t="shared" si="9"/>
        <v>-0.59564840666217389</v>
      </c>
    </row>
    <row r="307" spans="13:23" x14ac:dyDescent="0.2">
      <c r="M307" s="15" t="s">
        <v>323</v>
      </c>
      <c r="N307" s="14" t="s">
        <v>378</v>
      </c>
      <c r="O307" s="14" t="s">
        <v>379</v>
      </c>
      <c r="P307" s="14" t="s">
        <v>380</v>
      </c>
      <c r="Q307" s="14" t="s">
        <v>381</v>
      </c>
      <c r="R307" s="15" t="s">
        <v>382</v>
      </c>
      <c r="S307" s="34">
        <v>3240.55</v>
      </c>
      <c r="T307" s="34">
        <v>3020.25</v>
      </c>
      <c r="U307" s="35">
        <v>2452.13</v>
      </c>
      <c r="V307" s="38">
        <f t="shared" si="8"/>
        <v>-568.11999999999989</v>
      </c>
      <c r="W307" s="39">
        <f t="shared" si="9"/>
        <v>-0.18810363380514855</v>
      </c>
    </row>
    <row r="308" spans="13:23" x14ac:dyDescent="0.2">
      <c r="M308" s="15" t="s">
        <v>324</v>
      </c>
      <c r="N308" s="14" t="s">
        <v>378</v>
      </c>
      <c r="O308" s="14" t="s">
        <v>379</v>
      </c>
      <c r="P308" s="14" t="s">
        <v>380</v>
      </c>
      <c r="Q308" s="14" t="s">
        <v>381</v>
      </c>
      <c r="R308" s="15" t="s">
        <v>382</v>
      </c>
      <c r="S308" s="34">
        <v>6572.5</v>
      </c>
      <c r="T308" s="34">
        <v>838.55</v>
      </c>
      <c r="U308" s="35">
        <v>196.87</v>
      </c>
      <c r="V308" s="38">
        <f t="shared" si="8"/>
        <v>-641.67999999999995</v>
      </c>
      <c r="W308" s="39">
        <f t="shared" si="9"/>
        <v>-0.76522568719813966</v>
      </c>
    </row>
    <row r="309" spans="13:23" x14ac:dyDescent="0.2">
      <c r="M309" s="15" t="s">
        <v>325</v>
      </c>
      <c r="N309" s="14" t="s">
        <v>378</v>
      </c>
      <c r="O309" s="14" t="s">
        <v>379</v>
      </c>
      <c r="P309" s="14" t="s">
        <v>380</v>
      </c>
      <c r="Q309" s="14" t="s">
        <v>381</v>
      </c>
      <c r="R309" s="15" t="s">
        <v>382</v>
      </c>
      <c r="S309" s="34"/>
      <c r="T309" s="34"/>
      <c r="U309" s="35">
        <v>11418.05</v>
      </c>
      <c r="V309" s="38">
        <f t="shared" si="8"/>
        <v>11418.05</v>
      </c>
      <c r="W309" s="39" t="str">
        <f t="shared" si="9"/>
        <v/>
      </c>
    </row>
    <row r="310" spans="13:23" x14ac:dyDescent="0.2">
      <c r="M310" s="15" t="s">
        <v>326</v>
      </c>
      <c r="N310" s="14" t="s">
        <v>378</v>
      </c>
      <c r="O310" s="14" t="s">
        <v>379</v>
      </c>
      <c r="P310" s="14" t="s">
        <v>380</v>
      </c>
      <c r="Q310" s="14" t="s">
        <v>381</v>
      </c>
      <c r="R310" s="15" t="s">
        <v>382</v>
      </c>
      <c r="S310" s="34">
        <v>618.29</v>
      </c>
      <c r="T310" s="34"/>
      <c r="U310" s="35"/>
      <c r="V310" s="38">
        <f t="shared" si="8"/>
        <v>0</v>
      </c>
      <c r="W310" s="39" t="str">
        <f t="shared" si="9"/>
        <v/>
      </c>
    </row>
    <row r="311" spans="13:23" x14ac:dyDescent="0.2">
      <c r="M311" s="15" t="s">
        <v>327</v>
      </c>
      <c r="N311" s="14" t="s">
        <v>378</v>
      </c>
      <c r="O311" s="14" t="s">
        <v>379</v>
      </c>
      <c r="P311" s="14" t="s">
        <v>380</v>
      </c>
      <c r="Q311" s="14" t="s">
        <v>381</v>
      </c>
      <c r="R311" s="15" t="s">
        <v>382</v>
      </c>
      <c r="S311" s="34">
        <v>40</v>
      </c>
      <c r="T311" s="34">
        <v>26.66</v>
      </c>
      <c r="U311" s="35">
        <v>0</v>
      </c>
      <c r="V311" s="38">
        <f t="shared" si="8"/>
        <v>-26.66</v>
      </c>
      <c r="W311" s="39">
        <f t="shared" si="9"/>
        <v>-1</v>
      </c>
    </row>
    <row r="312" spans="13:23" x14ac:dyDescent="0.2">
      <c r="M312" s="15" t="s">
        <v>328</v>
      </c>
      <c r="N312" s="14" t="s">
        <v>378</v>
      </c>
      <c r="O312" s="14" t="s">
        <v>379</v>
      </c>
      <c r="P312" s="14" t="s">
        <v>380</v>
      </c>
      <c r="Q312" s="14" t="s">
        <v>381</v>
      </c>
      <c r="R312" s="15" t="s">
        <v>382</v>
      </c>
      <c r="S312" s="34">
        <v>1071.5999999999999</v>
      </c>
      <c r="T312" s="34"/>
      <c r="U312" s="35"/>
      <c r="V312" s="38">
        <f t="shared" si="8"/>
        <v>0</v>
      </c>
      <c r="W312" s="39" t="str">
        <f t="shared" si="9"/>
        <v/>
      </c>
    </row>
    <row r="313" spans="13:23" x14ac:dyDescent="0.2">
      <c r="M313" s="15" t="s">
        <v>329</v>
      </c>
      <c r="N313" s="14" t="s">
        <v>378</v>
      </c>
      <c r="O313" s="14" t="s">
        <v>379</v>
      </c>
      <c r="P313" s="14" t="s">
        <v>380</v>
      </c>
      <c r="Q313" s="14" t="s">
        <v>381</v>
      </c>
      <c r="R313" s="15" t="s">
        <v>382</v>
      </c>
      <c r="S313" s="34"/>
      <c r="T313" s="34"/>
      <c r="U313" s="35">
        <v>7199.33</v>
      </c>
      <c r="V313" s="38">
        <f t="shared" si="8"/>
        <v>7199.33</v>
      </c>
      <c r="W313" s="39" t="str">
        <f t="shared" si="9"/>
        <v/>
      </c>
    </row>
    <row r="314" spans="13:23" x14ac:dyDescent="0.2">
      <c r="M314" s="15" t="s">
        <v>330</v>
      </c>
      <c r="N314" s="14" t="s">
        <v>378</v>
      </c>
      <c r="O314" s="14" t="s">
        <v>379</v>
      </c>
      <c r="P314" s="14" t="s">
        <v>380</v>
      </c>
      <c r="Q314" s="14" t="s">
        <v>381</v>
      </c>
      <c r="R314" s="15" t="s">
        <v>382</v>
      </c>
      <c r="S314" s="34">
        <v>4210.29</v>
      </c>
      <c r="T314" s="34">
        <v>8860.2900000000009</v>
      </c>
      <c r="U314" s="35">
        <v>15546.96</v>
      </c>
      <c r="V314" s="38">
        <f t="shared" si="8"/>
        <v>6686.6699999999983</v>
      </c>
      <c r="W314" s="39">
        <f t="shared" si="9"/>
        <v>0.75467845860575644</v>
      </c>
    </row>
    <row r="315" spans="13:23" x14ac:dyDescent="0.2">
      <c r="M315" s="15" t="s">
        <v>331</v>
      </c>
      <c r="N315" s="14" t="s">
        <v>378</v>
      </c>
      <c r="O315" s="14" t="s">
        <v>379</v>
      </c>
      <c r="P315" s="14" t="s">
        <v>380</v>
      </c>
      <c r="Q315" s="14" t="s">
        <v>381</v>
      </c>
      <c r="R315" s="15" t="s">
        <v>382</v>
      </c>
      <c r="S315" s="34">
        <v>671.67</v>
      </c>
      <c r="T315" s="34">
        <v>20</v>
      </c>
      <c r="U315" s="35">
        <v>1888.04</v>
      </c>
      <c r="V315" s="38">
        <f t="shared" si="8"/>
        <v>1868.04</v>
      </c>
      <c r="W315" s="39" t="str">
        <f t="shared" si="9"/>
        <v>&gt;100%</v>
      </c>
    </row>
    <row r="316" spans="13:23" x14ac:dyDescent="0.2">
      <c r="M316" s="15" t="s">
        <v>332</v>
      </c>
      <c r="N316" s="14" t="s">
        <v>378</v>
      </c>
      <c r="O316" s="14" t="s">
        <v>379</v>
      </c>
      <c r="P316" s="14" t="s">
        <v>380</v>
      </c>
      <c r="Q316" s="14" t="s">
        <v>381</v>
      </c>
      <c r="R316" s="15" t="s">
        <v>382</v>
      </c>
      <c r="S316" s="34">
        <v>20</v>
      </c>
      <c r="T316" s="34">
        <v>20</v>
      </c>
      <c r="U316" s="35"/>
      <c r="V316" s="38">
        <f t="shared" si="8"/>
        <v>-20</v>
      </c>
      <c r="W316" s="39">
        <f t="shared" si="9"/>
        <v>-1</v>
      </c>
    </row>
    <row r="317" spans="13:23" x14ac:dyDescent="0.2">
      <c r="M317" s="15" t="s">
        <v>333</v>
      </c>
      <c r="N317" s="14" t="s">
        <v>378</v>
      </c>
      <c r="O317" s="14" t="s">
        <v>379</v>
      </c>
      <c r="P317" s="14" t="s">
        <v>380</v>
      </c>
      <c r="Q317" s="14" t="s">
        <v>381</v>
      </c>
      <c r="R317" s="15" t="s">
        <v>382</v>
      </c>
      <c r="S317" s="34">
        <v>684.75</v>
      </c>
      <c r="T317" s="34">
        <v>200.36</v>
      </c>
      <c r="U317" s="35">
        <v>30</v>
      </c>
      <c r="V317" s="38">
        <f t="shared" si="8"/>
        <v>-170.36</v>
      </c>
      <c r="W317" s="39">
        <f t="shared" si="9"/>
        <v>-0.85026951487322822</v>
      </c>
    </row>
    <row r="318" spans="13:23" x14ac:dyDescent="0.2">
      <c r="M318" s="15" t="s">
        <v>334</v>
      </c>
      <c r="N318" s="14" t="s">
        <v>378</v>
      </c>
      <c r="O318" s="14" t="s">
        <v>379</v>
      </c>
      <c r="P318" s="14" t="s">
        <v>380</v>
      </c>
      <c r="Q318" s="14" t="s">
        <v>381</v>
      </c>
      <c r="R318" s="15" t="s">
        <v>382</v>
      </c>
      <c r="S318" s="34">
        <v>9224.32</v>
      </c>
      <c r="T318" s="34">
        <v>2984.22</v>
      </c>
      <c r="U318" s="35"/>
      <c r="V318" s="38">
        <f t="shared" si="8"/>
        <v>-2984.22</v>
      </c>
      <c r="W318" s="39">
        <f t="shared" si="9"/>
        <v>-1</v>
      </c>
    </row>
    <row r="319" spans="13:23" x14ac:dyDescent="0.2">
      <c r="M319" s="15" t="s">
        <v>335</v>
      </c>
      <c r="N319" s="14" t="s">
        <v>378</v>
      </c>
      <c r="O319" s="14" t="s">
        <v>379</v>
      </c>
      <c r="P319" s="14" t="s">
        <v>380</v>
      </c>
      <c r="Q319" s="14" t="s">
        <v>381</v>
      </c>
      <c r="R319" s="15" t="s">
        <v>382</v>
      </c>
      <c r="S319" s="34"/>
      <c r="T319" s="34">
        <v>946.83</v>
      </c>
      <c r="U319" s="35"/>
      <c r="V319" s="38">
        <f t="shared" si="8"/>
        <v>-946.83</v>
      </c>
      <c r="W319" s="39">
        <f t="shared" si="9"/>
        <v>-1</v>
      </c>
    </row>
    <row r="320" spans="13:23" x14ac:dyDescent="0.2">
      <c r="M320" s="15" t="s">
        <v>336</v>
      </c>
      <c r="N320" s="14" t="s">
        <v>378</v>
      </c>
      <c r="O320" s="14" t="s">
        <v>379</v>
      </c>
      <c r="P320" s="14" t="s">
        <v>380</v>
      </c>
      <c r="Q320" s="14" t="s">
        <v>381</v>
      </c>
      <c r="R320" s="15" t="s">
        <v>382</v>
      </c>
      <c r="S320" s="34">
        <v>886.75</v>
      </c>
      <c r="T320" s="34">
        <v>12194.02</v>
      </c>
      <c r="U320" s="35">
        <v>10041.86</v>
      </c>
      <c r="V320" s="38">
        <f t="shared" si="8"/>
        <v>-2152.16</v>
      </c>
      <c r="W320" s="39">
        <f t="shared" si="9"/>
        <v>-0.17649306791361666</v>
      </c>
    </row>
    <row r="321" spans="13:23" x14ac:dyDescent="0.2">
      <c r="M321" s="15" t="s">
        <v>337</v>
      </c>
      <c r="N321" s="14" t="s">
        <v>378</v>
      </c>
      <c r="O321" s="14" t="s">
        <v>379</v>
      </c>
      <c r="P321" s="14" t="s">
        <v>380</v>
      </c>
      <c r="Q321" s="14" t="s">
        <v>381</v>
      </c>
      <c r="R321" s="15" t="s">
        <v>382</v>
      </c>
      <c r="S321" s="34">
        <v>164.7</v>
      </c>
      <c r="T321" s="34">
        <v>20</v>
      </c>
      <c r="U321" s="35">
        <v>372.1</v>
      </c>
      <c r="V321" s="38">
        <f t="shared" si="8"/>
        <v>352.1</v>
      </c>
      <c r="W321" s="39" t="str">
        <f t="shared" si="9"/>
        <v>&gt;100%</v>
      </c>
    </row>
    <row r="322" spans="13:23" x14ac:dyDescent="0.2">
      <c r="M322" s="15" t="s">
        <v>338</v>
      </c>
      <c r="N322" s="14" t="s">
        <v>378</v>
      </c>
      <c r="O322" s="14" t="s">
        <v>379</v>
      </c>
      <c r="P322" s="14" t="s">
        <v>380</v>
      </c>
      <c r="Q322" s="14" t="s">
        <v>381</v>
      </c>
      <c r="R322" s="15" t="s">
        <v>382</v>
      </c>
      <c r="S322" s="34"/>
      <c r="T322" s="34">
        <v>10</v>
      </c>
      <c r="U322" s="35"/>
      <c r="V322" s="38">
        <f t="shared" si="8"/>
        <v>-10</v>
      </c>
      <c r="W322" s="39">
        <f t="shared" si="9"/>
        <v>-1</v>
      </c>
    </row>
    <row r="323" spans="13:23" x14ac:dyDescent="0.2">
      <c r="M323" s="15" t="s">
        <v>339</v>
      </c>
      <c r="N323" s="14" t="s">
        <v>378</v>
      </c>
      <c r="O323" s="14" t="s">
        <v>379</v>
      </c>
      <c r="P323" s="14" t="s">
        <v>380</v>
      </c>
      <c r="Q323" s="14" t="s">
        <v>381</v>
      </c>
      <c r="R323" s="15" t="s">
        <v>382</v>
      </c>
      <c r="S323" s="34">
        <v>1855.53</v>
      </c>
      <c r="T323" s="34">
        <v>6752.5</v>
      </c>
      <c r="U323" s="35">
        <v>13883.68</v>
      </c>
      <c r="V323" s="38">
        <f t="shared" si="8"/>
        <v>7131.18</v>
      </c>
      <c r="W323" s="39" t="str">
        <f t="shared" si="9"/>
        <v>&gt;100%</v>
      </c>
    </row>
    <row r="324" spans="13:23" x14ac:dyDescent="0.2">
      <c r="M324" s="15" t="s">
        <v>340</v>
      </c>
      <c r="N324" s="14" t="s">
        <v>378</v>
      </c>
      <c r="O324" s="14" t="s">
        <v>379</v>
      </c>
      <c r="P324" s="14" t="s">
        <v>380</v>
      </c>
      <c r="Q324" s="14" t="s">
        <v>381</v>
      </c>
      <c r="R324" s="15" t="s">
        <v>382</v>
      </c>
      <c r="S324" s="34"/>
      <c r="T324" s="34">
        <v>12.5</v>
      </c>
      <c r="U324" s="35">
        <v>533.75</v>
      </c>
      <c r="V324" s="38">
        <f t="shared" si="8"/>
        <v>521.25</v>
      </c>
      <c r="W324" s="39" t="str">
        <f t="shared" si="9"/>
        <v>&gt;100%</v>
      </c>
    </row>
    <row r="325" spans="13:23" x14ac:dyDescent="0.2">
      <c r="M325" s="15" t="s">
        <v>341</v>
      </c>
      <c r="N325" s="14" t="s">
        <v>378</v>
      </c>
      <c r="O325" s="14" t="s">
        <v>379</v>
      </c>
      <c r="P325" s="14" t="s">
        <v>380</v>
      </c>
      <c r="Q325" s="14" t="s">
        <v>381</v>
      </c>
      <c r="R325" s="15" t="s">
        <v>382</v>
      </c>
      <c r="S325" s="34">
        <v>1454.66</v>
      </c>
      <c r="T325" s="34">
        <v>20</v>
      </c>
      <c r="U325" s="35">
        <v>2438.75</v>
      </c>
      <c r="V325" s="38">
        <f t="shared" ref="V325:V360" si="10">+U325-T325</f>
        <v>2418.75</v>
      </c>
      <c r="W325" s="39" t="str">
        <f t="shared" ref="W325:W360" si="11">IF(T325="","",IF(T325=0,"",IF(T325&lt;0,"",IF((V325/T325)&gt;1,"&gt;100%",IFERROR(V325/T325,"")))))</f>
        <v>&gt;100%</v>
      </c>
    </row>
    <row r="326" spans="13:23" x14ac:dyDescent="0.2">
      <c r="M326" s="15" t="s">
        <v>342</v>
      </c>
      <c r="N326" s="14" t="s">
        <v>378</v>
      </c>
      <c r="O326" s="14" t="s">
        <v>379</v>
      </c>
      <c r="P326" s="14" t="s">
        <v>380</v>
      </c>
      <c r="Q326" s="14" t="s">
        <v>381</v>
      </c>
      <c r="R326" s="15" t="s">
        <v>382</v>
      </c>
      <c r="S326" s="34">
        <v>20</v>
      </c>
      <c r="T326" s="34">
        <v>3419.97</v>
      </c>
      <c r="U326" s="35">
        <v>1295.3599999999999</v>
      </c>
      <c r="V326" s="38">
        <f t="shared" si="10"/>
        <v>-2124.6099999999997</v>
      </c>
      <c r="W326" s="39">
        <f t="shared" si="11"/>
        <v>-0.62123644359453445</v>
      </c>
    </row>
    <row r="327" spans="13:23" x14ac:dyDescent="0.2">
      <c r="M327" s="15" t="s">
        <v>343</v>
      </c>
      <c r="N327" s="14" t="s">
        <v>378</v>
      </c>
      <c r="O327" s="14" t="s">
        <v>379</v>
      </c>
      <c r="P327" s="14" t="s">
        <v>380</v>
      </c>
      <c r="Q327" s="14" t="s">
        <v>381</v>
      </c>
      <c r="R327" s="15" t="s">
        <v>382</v>
      </c>
      <c r="S327" s="34"/>
      <c r="T327" s="34">
        <v>20</v>
      </c>
      <c r="U327" s="35">
        <v>10</v>
      </c>
      <c r="V327" s="38">
        <f t="shared" si="10"/>
        <v>-10</v>
      </c>
      <c r="W327" s="39">
        <f t="shared" si="11"/>
        <v>-0.5</v>
      </c>
    </row>
    <row r="328" spans="13:23" x14ac:dyDescent="0.2">
      <c r="M328" s="15" t="s">
        <v>344</v>
      </c>
      <c r="N328" s="14" t="s">
        <v>378</v>
      </c>
      <c r="O328" s="14" t="s">
        <v>379</v>
      </c>
      <c r="P328" s="14" t="s">
        <v>380</v>
      </c>
      <c r="Q328" s="14" t="s">
        <v>381</v>
      </c>
      <c r="R328" s="15" t="s">
        <v>382</v>
      </c>
      <c r="S328" s="34">
        <v>1656.18</v>
      </c>
      <c r="T328" s="34">
        <v>1673.69</v>
      </c>
      <c r="U328" s="35">
        <v>8008.71</v>
      </c>
      <c r="V328" s="38">
        <f t="shared" si="10"/>
        <v>6335.02</v>
      </c>
      <c r="W328" s="39" t="str">
        <f t="shared" si="11"/>
        <v>&gt;100%</v>
      </c>
    </row>
    <row r="329" spans="13:23" x14ac:dyDescent="0.2">
      <c r="M329" s="15" t="s">
        <v>345</v>
      </c>
      <c r="N329" s="14" t="s">
        <v>378</v>
      </c>
      <c r="O329" s="14" t="s">
        <v>379</v>
      </c>
      <c r="P329" s="14" t="s">
        <v>380</v>
      </c>
      <c r="Q329" s="14" t="s">
        <v>381</v>
      </c>
      <c r="R329" s="15" t="s">
        <v>382</v>
      </c>
      <c r="S329" s="34">
        <v>52.38</v>
      </c>
      <c r="T329" s="34">
        <v>14010.67</v>
      </c>
      <c r="U329" s="35">
        <v>1574.57</v>
      </c>
      <c r="V329" s="38">
        <f t="shared" si="10"/>
        <v>-12436.1</v>
      </c>
      <c r="W329" s="39">
        <f t="shared" si="11"/>
        <v>-0.88761636666911725</v>
      </c>
    </row>
    <row r="330" spans="13:23" x14ac:dyDescent="0.2">
      <c r="M330" s="15" t="s">
        <v>346</v>
      </c>
      <c r="N330" s="14" t="s">
        <v>378</v>
      </c>
      <c r="O330" s="14" t="s">
        <v>379</v>
      </c>
      <c r="P330" s="14" t="s">
        <v>380</v>
      </c>
      <c r="Q330" s="14" t="s">
        <v>381</v>
      </c>
      <c r="R330" s="15" t="s">
        <v>382</v>
      </c>
      <c r="S330" s="34">
        <v>286.01</v>
      </c>
      <c r="T330" s="34">
        <v>10</v>
      </c>
      <c r="U330" s="35"/>
      <c r="V330" s="38">
        <f t="shared" si="10"/>
        <v>-10</v>
      </c>
      <c r="W330" s="39">
        <f t="shared" si="11"/>
        <v>-1</v>
      </c>
    </row>
    <row r="331" spans="13:23" x14ac:dyDescent="0.2">
      <c r="M331" s="15" t="s">
        <v>347</v>
      </c>
      <c r="N331" s="14" t="s">
        <v>378</v>
      </c>
      <c r="O331" s="14" t="s">
        <v>379</v>
      </c>
      <c r="P331" s="14" t="s">
        <v>380</v>
      </c>
      <c r="Q331" s="14" t="s">
        <v>381</v>
      </c>
      <c r="R331" s="15" t="s">
        <v>382</v>
      </c>
      <c r="S331" s="34">
        <v>3534.69</v>
      </c>
      <c r="T331" s="34">
        <v>6409.09</v>
      </c>
      <c r="U331" s="35">
        <v>4778.49</v>
      </c>
      <c r="V331" s="38">
        <f t="shared" si="10"/>
        <v>-1630.6000000000004</v>
      </c>
      <c r="W331" s="39">
        <f t="shared" si="11"/>
        <v>-0.25441989424395667</v>
      </c>
    </row>
    <row r="332" spans="13:23" x14ac:dyDescent="0.2">
      <c r="M332" s="15" t="s">
        <v>348</v>
      </c>
      <c r="N332" s="14" t="s">
        <v>378</v>
      </c>
      <c r="O332" s="14" t="s">
        <v>379</v>
      </c>
      <c r="P332" s="14" t="s">
        <v>380</v>
      </c>
      <c r="Q332" s="14" t="s">
        <v>381</v>
      </c>
      <c r="R332" s="15" t="s">
        <v>382</v>
      </c>
      <c r="S332" s="34"/>
      <c r="T332" s="34"/>
      <c r="U332" s="35">
        <v>102.83</v>
      </c>
      <c r="V332" s="38">
        <f t="shared" si="10"/>
        <v>102.83</v>
      </c>
      <c r="W332" s="39" t="str">
        <f t="shared" si="11"/>
        <v/>
      </c>
    </row>
    <row r="333" spans="13:23" x14ac:dyDescent="0.2">
      <c r="M333" s="15" t="s">
        <v>349</v>
      </c>
      <c r="N333" s="14" t="s">
        <v>378</v>
      </c>
      <c r="O333" s="14" t="s">
        <v>379</v>
      </c>
      <c r="P333" s="14" t="s">
        <v>380</v>
      </c>
      <c r="Q333" s="14" t="s">
        <v>381</v>
      </c>
      <c r="R333" s="15" t="s">
        <v>382</v>
      </c>
      <c r="S333" s="34">
        <v>11038.71</v>
      </c>
      <c r="T333" s="34">
        <v>4146.6099999999997</v>
      </c>
      <c r="U333" s="35">
        <v>3283.4</v>
      </c>
      <c r="V333" s="38">
        <f t="shared" si="10"/>
        <v>-863.20999999999958</v>
      </c>
      <c r="W333" s="39">
        <f t="shared" si="11"/>
        <v>-0.2081724589483939</v>
      </c>
    </row>
    <row r="334" spans="13:23" x14ac:dyDescent="0.2">
      <c r="M334" s="15" t="s">
        <v>350</v>
      </c>
      <c r="N334" s="14" t="s">
        <v>378</v>
      </c>
      <c r="O334" s="14" t="s">
        <v>379</v>
      </c>
      <c r="P334" s="14" t="s">
        <v>380</v>
      </c>
      <c r="Q334" s="14" t="s">
        <v>381</v>
      </c>
      <c r="R334" s="15" t="s">
        <v>382</v>
      </c>
      <c r="S334" s="34">
        <v>2229.75</v>
      </c>
      <c r="T334" s="34">
        <v>2992.5</v>
      </c>
      <c r="U334" s="35">
        <v>4119.38</v>
      </c>
      <c r="V334" s="38">
        <f t="shared" si="10"/>
        <v>1126.8800000000001</v>
      </c>
      <c r="W334" s="39">
        <f t="shared" si="11"/>
        <v>0.37656808688387639</v>
      </c>
    </row>
    <row r="335" spans="13:23" x14ac:dyDescent="0.2">
      <c r="M335" s="15" t="s">
        <v>351</v>
      </c>
      <c r="N335" s="14" t="s">
        <v>378</v>
      </c>
      <c r="O335" s="14" t="s">
        <v>379</v>
      </c>
      <c r="P335" s="14" t="s">
        <v>380</v>
      </c>
      <c r="Q335" s="14" t="s">
        <v>381</v>
      </c>
      <c r="R335" s="15" t="s">
        <v>382</v>
      </c>
      <c r="S335" s="34">
        <v>5496.53</v>
      </c>
      <c r="T335" s="34">
        <v>309.22000000000003</v>
      </c>
      <c r="U335" s="35">
        <v>941.08</v>
      </c>
      <c r="V335" s="38">
        <f t="shared" si="10"/>
        <v>631.86</v>
      </c>
      <c r="W335" s="39" t="str">
        <f t="shared" si="11"/>
        <v>&gt;100%</v>
      </c>
    </row>
    <row r="336" spans="13:23" x14ac:dyDescent="0.2">
      <c r="M336" s="15" t="s">
        <v>352</v>
      </c>
      <c r="N336" s="14" t="s">
        <v>378</v>
      </c>
      <c r="O336" s="14" t="s">
        <v>379</v>
      </c>
      <c r="P336" s="14" t="s">
        <v>380</v>
      </c>
      <c r="Q336" s="14" t="s">
        <v>381</v>
      </c>
      <c r="R336" s="15" t="s">
        <v>382</v>
      </c>
      <c r="S336" s="34">
        <v>4442.58</v>
      </c>
      <c r="T336" s="34">
        <v>1474</v>
      </c>
      <c r="U336" s="35">
        <v>80</v>
      </c>
      <c r="V336" s="38">
        <f t="shared" si="10"/>
        <v>-1394</v>
      </c>
      <c r="W336" s="39">
        <f t="shared" si="11"/>
        <v>-0.94572591587516963</v>
      </c>
    </row>
    <row r="337" spans="13:23" x14ac:dyDescent="0.2">
      <c r="M337" s="15" t="s">
        <v>353</v>
      </c>
      <c r="N337" s="14" t="s">
        <v>378</v>
      </c>
      <c r="O337" s="14" t="s">
        <v>379</v>
      </c>
      <c r="P337" s="14" t="s">
        <v>380</v>
      </c>
      <c r="Q337" s="14" t="s">
        <v>381</v>
      </c>
      <c r="R337" s="15" t="s">
        <v>382</v>
      </c>
      <c r="S337" s="34"/>
      <c r="T337" s="34"/>
      <c r="U337" s="35">
        <v>4238.3500000000004</v>
      </c>
      <c r="V337" s="38">
        <f t="shared" si="10"/>
        <v>4238.3500000000004</v>
      </c>
      <c r="W337" s="39" t="str">
        <f t="shared" si="11"/>
        <v/>
      </c>
    </row>
    <row r="338" spans="13:23" x14ac:dyDescent="0.2">
      <c r="M338" s="15" t="s">
        <v>354</v>
      </c>
      <c r="N338" s="14" t="s">
        <v>378</v>
      </c>
      <c r="O338" s="14" t="s">
        <v>379</v>
      </c>
      <c r="P338" s="14" t="s">
        <v>380</v>
      </c>
      <c r="Q338" s="14" t="s">
        <v>381</v>
      </c>
      <c r="R338" s="15" t="s">
        <v>382</v>
      </c>
      <c r="S338" s="34">
        <v>40.520000000000003</v>
      </c>
      <c r="T338" s="34">
        <v>59.44</v>
      </c>
      <c r="U338" s="35"/>
      <c r="V338" s="38">
        <f t="shared" si="10"/>
        <v>-59.44</v>
      </c>
      <c r="W338" s="39">
        <f t="shared" si="11"/>
        <v>-1</v>
      </c>
    </row>
    <row r="339" spans="13:23" x14ac:dyDescent="0.2">
      <c r="M339" s="15" t="s">
        <v>355</v>
      </c>
      <c r="N339" s="14" t="s">
        <v>378</v>
      </c>
      <c r="O339" s="14" t="s">
        <v>379</v>
      </c>
      <c r="P339" s="14" t="s">
        <v>380</v>
      </c>
      <c r="Q339" s="14" t="s">
        <v>381</v>
      </c>
      <c r="R339" s="15" t="s">
        <v>382</v>
      </c>
      <c r="S339" s="34">
        <v>1300.0899999999999</v>
      </c>
      <c r="T339" s="34">
        <v>935.72</v>
      </c>
      <c r="U339" s="35">
        <v>732.01</v>
      </c>
      <c r="V339" s="38">
        <f t="shared" si="10"/>
        <v>-203.71000000000004</v>
      </c>
      <c r="W339" s="39">
        <f t="shared" si="11"/>
        <v>-0.21770401402128844</v>
      </c>
    </row>
    <row r="340" spans="13:23" x14ac:dyDescent="0.2">
      <c r="M340" s="15" t="s">
        <v>356</v>
      </c>
      <c r="N340" s="14" t="s">
        <v>378</v>
      </c>
      <c r="O340" s="14" t="s">
        <v>379</v>
      </c>
      <c r="P340" s="14" t="s">
        <v>380</v>
      </c>
      <c r="Q340" s="14" t="s">
        <v>381</v>
      </c>
      <c r="R340" s="15" t="s">
        <v>382</v>
      </c>
      <c r="S340" s="34">
        <v>556.5</v>
      </c>
      <c r="T340" s="34"/>
      <c r="U340" s="35"/>
      <c r="V340" s="38">
        <f t="shared" si="10"/>
        <v>0</v>
      </c>
      <c r="W340" s="39" t="str">
        <f t="shared" si="11"/>
        <v/>
      </c>
    </row>
    <row r="341" spans="13:23" x14ac:dyDescent="0.2">
      <c r="M341" s="15" t="s">
        <v>357</v>
      </c>
      <c r="N341" s="14" t="s">
        <v>378</v>
      </c>
      <c r="O341" s="14" t="s">
        <v>379</v>
      </c>
      <c r="P341" s="14" t="s">
        <v>380</v>
      </c>
      <c r="Q341" s="14" t="s">
        <v>381</v>
      </c>
      <c r="R341" s="15" t="s">
        <v>382</v>
      </c>
      <c r="S341" s="34">
        <v>10</v>
      </c>
      <c r="T341" s="34"/>
      <c r="U341" s="35"/>
      <c r="V341" s="38">
        <f t="shared" si="10"/>
        <v>0</v>
      </c>
      <c r="W341" s="39" t="str">
        <f t="shared" si="11"/>
        <v/>
      </c>
    </row>
    <row r="342" spans="13:23" x14ac:dyDescent="0.2">
      <c r="M342" s="15" t="s">
        <v>358</v>
      </c>
      <c r="N342" s="14" t="s">
        <v>378</v>
      </c>
      <c r="O342" s="14" t="s">
        <v>379</v>
      </c>
      <c r="P342" s="14" t="s">
        <v>380</v>
      </c>
      <c r="Q342" s="14" t="s">
        <v>381</v>
      </c>
      <c r="R342" s="15" t="s">
        <v>382</v>
      </c>
      <c r="S342" s="34">
        <v>10</v>
      </c>
      <c r="T342" s="34">
        <v>10</v>
      </c>
      <c r="U342" s="35">
        <v>10</v>
      </c>
      <c r="V342" s="38">
        <f t="shared" si="10"/>
        <v>0</v>
      </c>
      <c r="W342" s="39">
        <f t="shared" si="11"/>
        <v>0</v>
      </c>
    </row>
    <row r="343" spans="13:23" x14ac:dyDescent="0.2">
      <c r="M343" s="15" t="s">
        <v>359</v>
      </c>
      <c r="N343" s="14" t="s">
        <v>378</v>
      </c>
      <c r="O343" s="14" t="s">
        <v>379</v>
      </c>
      <c r="P343" s="14" t="s">
        <v>380</v>
      </c>
      <c r="Q343" s="14" t="s">
        <v>381</v>
      </c>
      <c r="R343" s="15" t="s">
        <v>382</v>
      </c>
      <c r="S343" s="34">
        <v>2490.17</v>
      </c>
      <c r="T343" s="34">
        <v>528.25</v>
      </c>
      <c r="U343" s="35">
        <v>2235</v>
      </c>
      <c r="V343" s="38">
        <f t="shared" si="10"/>
        <v>1706.75</v>
      </c>
      <c r="W343" s="39" t="str">
        <f t="shared" si="11"/>
        <v>&gt;100%</v>
      </c>
    </row>
    <row r="344" spans="13:23" x14ac:dyDescent="0.2">
      <c r="M344" s="15" t="s">
        <v>360</v>
      </c>
      <c r="N344" s="14" t="s">
        <v>378</v>
      </c>
      <c r="O344" s="14" t="s">
        <v>379</v>
      </c>
      <c r="P344" s="14" t="s">
        <v>380</v>
      </c>
      <c r="Q344" s="14" t="s">
        <v>381</v>
      </c>
      <c r="R344" s="15" t="s">
        <v>382</v>
      </c>
      <c r="S344" s="34"/>
      <c r="T344" s="34">
        <v>62.83</v>
      </c>
      <c r="U344" s="35"/>
      <c r="V344" s="38">
        <f t="shared" si="10"/>
        <v>-62.83</v>
      </c>
      <c r="W344" s="39">
        <f t="shared" si="11"/>
        <v>-1</v>
      </c>
    </row>
    <row r="345" spans="13:23" x14ac:dyDescent="0.2">
      <c r="M345" s="15" t="s">
        <v>361</v>
      </c>
      <c r="N345" s="14" t="s">
        <v>378</v>
      </c>
      <c r="O345" s="14" t="s">
        <v>379</v>
      </c>
      <c r="P345" s="14" t="s">
        <v>380</v>
      </c>
      <c r="Q345" s="14" t="s">
        <v>381</v>
      </c>
      <c r="R345" s="15" t="s">
        <v>382</v>
      </c>
      <c r="S345" s="34">
        <v>161.43</v>
      </c>
      <c r="T345" s="34">
        <v>207.7</v>
      </c>
      <c r="U345" s="35"/>
      <c r="V345" s="38">
        <f t="shared" si="10"/>
        <v>-207.7</v>
      </c>
      <c r="W345" s="39">
        <f t="shared" si="11"/>
        <v>-1</v>
      </c>
    </row>
    <row r="346" spans="13:23" x14ac:dyDescent="0.2">
      <c r="M346" s="15" t="s">
        <v>362</v>
      </c>
      <c r="N346" s="14" t="s">
        <v>378</v>
      </c>
      <c r="O346" s="14" t="s">
        <v>379</v>
      </c>
      <c r="P346" s="14" t="s">
        <v>380</v>
      </c>
      <c r="Q346" s="14" t="s">
        <v>381</v>
      </c>
      <c r="R346" s="15" t="s">
        <v>382</v>
      </c>
      <c r="S346" s="34">
        <v>10</v>
      </c>
      <c r="T346" s="34">
        <v>10</v>
      </c>
      <c r="U346" s="35">
        <v>10</v>
      </c>
      <c r="V346" s="38">
        <f t="shared" si="10"/>
        <v>0</v>
      </c>
      <c r="W346" s="39">
        <f t="shared" si="11"/>
        <v>0</v>
      </c>
    </row>
    <row r="347" spans="13:23" x14ac:dyDescent="0.2">
      <c r="M347" s="15" t="s">
        <v>363</v>
      </c>
      <c r="N347" s="14" t="s">
        <v>378</v>
      </c>
      <c r="O347" s="14" t="s">
        <v>379</v>
      </c>
      <c r="P347" s="14" t="s">
        <v>380</v>
      </c>
      <c r="Q347" s="14" t="s">
        <v>381</v>
      </c>
      <c r="R347" s="15" t="s">
        <v>382</v>
      </c>
      <c r="S347" s="34">
        <v>10</v>
      </c>
      <c r="T347" s="34">
        <v>248.7</v>
      </c>
      <c r="U347" s="35"/>
      <c r="V347" s="38">
        <f t="shared" si="10"/>
        <v>-248.7</v>
      </c>
      <c r="W347" s="39">
        <f t="shared" si="11"/>
        <v>-1</v>
      </c>
    </row>
    <row r="348" spans="13:23" x14ac:dyDescent="0.2">
      <c r="M348" s="15" t="s">
        <v>364</v>
      </c>
      <c r="N348" s="14" t="s">
        <v>378</v>
      </c>
      <c r="O348" s="14" t="s">
        <v>379</v>
      </c>
      <c r="P348" s="14" t="s">
        <v>380</v>
      </c>
      <c r="Q348" s="14" t="s">
        <v>381</v>
      </c>
      <c r="R348" s="15" t="s">
        <v>382</v>
      </c>
      <c r="S348" s="34">
        <v>0</v>
      </c>
      <c r="T348" s="34">
        <v>10</v>
      </c>
      <c r="U348" s="35">
        <v>1215.68</v>
      </c>
      <c r="V348" s="38">
        <f t="shared" si="10"/>
        <v>1205.68</v>
      </c>
      <c r="W348" s="39" t="str">
        <f t="shared" si="11"/>
        <v>&gt;100%</v>
      </c>
    </row>
    <row r="349" spans="13:23" x14ac:dyDescent="0.2">
      <c r="M349" s="15" t="s">
        <v>365</v>
      </c>
      <c r="N349" s="14" t="s">
        <v>378</v>
      </c>
      <c r="O349" s="14" t="s">
        <v>379</v>
      </c>
      <c r="P349" s="14" t="s">
        <v>380</v>
      </c>
      <c r="Q349" s="14" t="s">
        <v>381</v>
      </c>
      <c r="R349" s="15" t="s">
        <v>382</v>
      </c>
      <c r="S349" s="34">
        <v>3320.65</v>
      </c>
      <c r="T349" s="34"/>
      <c r="U349" s="35">
        <v>10</v>
      </c>
      <c r="V349" s="38">
        <f t="shared" si="10"/>
        <v>10</v>
      </c>
      <c r="W349" s="39" t="str">
        <f t="shared" si="11"/>
        <v/>
      </c>
    </row>
    <row r="350" spans="13:23" x14ac:dyDescent="0.2">
      <c r="M350" s="15" t="s">
        <v>366</v>
      </c>
      <c r="N350" s="14" t="s">
        <v>378</v>
      </c>
      <c r="O350" s="14" t="s">
        <v>379</v>
      </c>
      <c r="P350" s="14" t="s">
        <v>380</v>
      </c>
      <c r="Q350" s="14" t="s">
        <v>381</v>
      </c>
      <c r="R350" s="15" t="s">
        <v>382</v>
      </c>
      <c r="S350" s="34">
        <v>3051.37</v>
      </c>
      <c r="T350" s="34"/>
      <c r="U350" s="35"/>
      <c r="V350" s="38">
        <f t="shared" si="10"/>
        <v>0</v>
      </c>
      <c r="W350" s="39" t="str">
        <f t="shared" si="11"/>
        <v/>
      </c>
    </row>
    <row r="351" spans="13:23" x14ac:dyDescent="0.2">
      <c r="M351" s="15" t="s">
        <v>367</v>
      </c>
      <c r="N351" s="14" t="s">
        <v>378</v>
      </c>
      <c r="O351" s="14" t="s">
        <v>379</v>
      </c>
      <c r="P351" s="14" t="s">
        <v>380</v>
      </c>
      <c r="Q351" s="14" t="s">
        <v>381</v>
      </c>
      <c r="R351" s="15" t="s">
        <v>382</v>
      </c>
      <c r="S351" s="34">
        <v>1300.5</v>
      </c>
      <c r="T351" s="34">
        <v>2127.87</v>
      </c>
      <c r="U351" s="35">
        <v>1904.31</v>
      </c>
      <c r="V351" s="38">
        <f t="shared" si="10"/>
        <v>-223.55999999999995</v>
      </c>
      <c r="W351" s="39">
        <f t="shared" si="11"/>
        <v>-0.10506280928816138</v>
      </c>
    </row>
    <row r="352" spans="13:23" x14ac:dyDescent="0.2">
      <c r="M352" s="15" t="s">
        <v>368</v>
      </c>
      <c r="N352" s="14" t="s">
        <v>378</v>
      </c>
      <c r="O352" s="14" t="s">
        <v>379</v>
      </c>
      <c r="P352" s="14" t="s">
        <v>380</v>
      </c>
      <c r="Q352" s="14" t="s">
        <v>381</v>
      </c>
      <c r="R352" s="15" t="s">
        <v>382</v>
      </c>
      <c r="S352" s="34">
        <v>1010.77</v>
      </c>
      <c r="T352" s="34">
        <v>303.68</v>
      </c>
      <c r="U352" s="35">
        <v>568.54999999999995</v>
      </c>
      <c r="V352" s="38">
        <f t="shared" si="10"/>
        <v>264.86999999999995</v>
      </c>
      <c r="W352" s="39">
        <f t="shared" si="11"/>
        <v>0.87220100105374054</v>
      </c>
    </row>
    <row r="353" spans="13:23" x14ac:dyDescent="0.2">
      <c r="M353" s="15" t="s">
        <v>369</v>
      </c>
      <c r="N353" s="14" t="s">
        <v>378</v>
      </c>
      <c r="O353" s="14" t="s">
        <v>379</v>
      </c>
      <c r="P353" s="14" t="s">
        <v>380</v>
      </c>
      <c r="Q353" s="14" t="s">
        <v>381</v>
      </c>
      <c r="R353" s="15" t="s">
        <v>382</v>
      </c>
      <c r="S353" s="34">
        <v>36.200000000000003</v>
      </c>
      <c r="T353" s="34"/>
      <c r="U353" s="35"/>
      <c r="V353" s="38">
        <f t="shared" si="10"/>
        <v>0</v>
      </c>
      <c r="W353" s="39" t="str">
        <f t="shared" si="11"/>
        <v/>
      </c>
    </row>
    <row r="354" spans="13:23" x14ac:dyDescent="0.2">
      <c r="M354" s="15" t="s">
        <v>370</v>
      </c>
      <c r="N354" s="14" t="s">
        <v>378</v>
      </c>
      <c r="O354" s="14" t="s">
        <v>379</v>
      </c>
      <c r="P354" s="14" t="s">
        <v>380</v>
      </c>
      <c r="Q354" s="14" t="s">
        <v>381</v>
      </c>
      <c r="R354" s="15" t="s">
        <v>382</v>
      </c>
      <c r="S354" s="34">
        <v>119420.57</v>
      </c>
      <c r="T354" s="34">
        <v>119199.92</v>
      </c>
      <c r="U354" s="35">
        <v>71918.259999999995</v>
      </c>
      <c r="V354" s="38">
        <f t="shared" si="10"/>
        <v>-47281.66</v>
      </c>
      <c r="W354" s="39">
        <f t="shared" si="11"/>
        <v>-0.39665848769026024</v>
      </c>
    </row>
    <row r="355" spans="13:23" x14ac:dyDescent="0.2">
      <c r="M355" s="15" t="s">
        <v>371</v>
      </c>
      <c r="N355" s="14" t="s">
        <v>378</v>
      </c>
      <c r="O355" s="14" t="s">
        <v>379</v>
      </c>
      <c r="P355" s="14" t="s">
        <v>380</v>
      </c>
      <c r="Q355" s="14" t="s">
        <v>381</v>
      </c>
      <c r="R355" s="15" t="s">
        <v>382</v>
      </c>
      <c r="S355" s="34">
        <v>10</v>
      </c>
      <c r="T355" s="34">
        <v>562.75</v>
      </c>
      <c r="U355" s="35"/>
      <c r="V355" s="38">
        <f t="shared" si="10"/>
        <v>-562.75</v>
      </c>
      <c r="W355" s="39">
        <f t="shared" si="11"/>
        <v>-1</v>
      </c>
    </row>
    <row r="356" spans="13:23" x14ac:dyDescent="0.2">
      <c r="M356" s="15" t="s">
        <v>372</v>
      </c>
      <c r="N356" s="14" t="s">
        <v>378</v>
      </c>
      <c r="O356" s="14" t="s">
        <v>379</v>
      </c>
      <c r="P356" s="14" t="s">
        <v>380</v>
      </c>
      <c r="Q356" s="14" t="s">
        <v>381</v>
      </c>
      <c r="R356" s="15" t="s">
        <v>382</v>
      </c>
      <c r="S356" s="34">
        <v>20</v>
      </c>
      <c r="T356" s="34">
        <v>10</v>
      </c>
      <c r="U356" s="35">
        <v>10</v>
      </c>
      <c r="V356" s="38">
        <f t="shared" si="10"/>
        <v>0</v>
      </c>
      <c r="W356" s="39">
        <f t="shared" si="11"/>
        <v>0</v>
      </c>
    </row>
    <row r="357" spans="13:23" x14ac:dyDescent="0.2">
      <c r="M357" s="15" t="s">
        <v>373</v>
      </c>
      <c r="N357" s="14" t="s">
        <v>378</v>
      </c>
      <c r="O357" s="14" t="s">
        <v>379</v>
      </c>
      <c r="P357" s="14" t="s">
        <v>380</v>
      </c>
      <c r="Q357" s="14" t="s">
        <v>381</v>
      </c>
      <c r="R357" s="15" t="s">
        <v>382</v>
      </c>
      <c r="S357" s="34">
        <v>81.41</v>
      </c>
      <c r="T357" s="34"/>
      <c r="U357" s="35"/>
      <c r="V357" s="38">
        <f t="shared" si="10"/>
        <v>0</v>
      </c>
      <c r="W357" s="39" t="str">
        <f t="shared" si="11"/>
        <v/>
      </c>
    </row>
    <row r="358" spans="13:23" x14ac:dyDescent="0.2">
      <c r="M358" s="15" t="s">
        <v>374</v>
      </c>
      <c r="N358" s="14" t="s">
        <v>378</v>
      </c>
      <c r="O358" s="14" t="s">
        <v>379</v>
      </c>
      <c r="P358" s="14" t="s">
        <v>380</v>
      </c>
      <c r="Q358" s="14" t="s">
        <v>381</v>
      </c>
      <c r="R358" s="15" t="s">
        <v>382</v>
      </c>
      <c r="S358" s="34"/>
      <c r="T358" s="34"/>
      <c r="U358" s="35">
        <v>92.65</v>
      </c>
      <c r="V358" s="38">
        <f t="shared" si="10"/>
        <v>92.65</v>
      </c>
      <c r="W358" s="39" t="str">
        <f t="shared" si="11"/>
        <v/>
      </c>
    </row>
    <row r="359" spans="13:23" x14ac:dyDescent="0.2">
      <c r="M359" s="15" t="s">
        <v>375</v>
      </c>
      <c r="N359" s="14" t="s">
        <v>378</v>
      </c>
      <c r="O359" s="14" t="s">
        <v>379</v>
      </c>
      <c r="P359" s="14" t="s">
        <v>380</v>
      </c>
      <c r="Q359" s="14" t="s">
        <v>381</v>
      </c>
      <c r="R359" s="15" t="s">
        <v>382</v>
      </c>
      <c r="S359" s="34">
        <v>3527.25</v>
      </c>
      <c r="T359" s="34">
        <v>2433.9899999999998</v>
      </c>
      <c r="U359" s="35">
        <v>10</v>
      </c>
      <c r="V359" s="38">
        <f t="shared" si="10"/>
        <v>-2423.9899999999998</v>
      </c>
      <c r="W359" s="39">
        <f t="shared" si="11"/>
        <v>-0.99589151968578338</v>
      </c>
    </row>
    <row r="360" spans="13:23" x14ac:dyDescent="0.2">
      <c r="M360" s="15" t="s">
        <v>376</v>
      </c>
      <c r="N360" s="15" t="s">
        <v>377</v>
      </c>
      <c r="O360" s="15" t="s">
        <v>20</v>
      </c>
      <c r="P360" s="15" t="s">
        <v>20</v>
      </c>
      <c r="Q360" s="15" t="s">
        <v>20</v>
      </c>
      <c r="R360" s="15" t="s">
        <v>20</v>
      </c>
      <c r="S360" s="45">
        <v>530574.72</v>
      </c>
      <c r="T360" s="45">
        <v>713728.28</v>
      </c>
      <c r="U360" s="46">
        <v>1166890.8600000001</v>
      </c>
      <c r="V360" s="38">
        <f t="shared" si="10"/>
        <v>453162.58000000007</v>
      </c>
      <c r="W360" s="39">
        <f t="shared" si="11"/>
        <v>0.63492311107526811</v>
      </c>
    </row>
  </sheetData>
  <mergeCells count="2">
    <mergeCell ref="A1:B1"/>
    <mergeCell ref="C1:D1"/>
  </mergeCells>
  <conditionalFormatting sqref="W4:W360">
    <cfRule type="cellIs" dxfId="3" priority="3" operator="lessThanOrEqual">
      <formula>-0.05</formula>
    </cfRule>
    <cfRule type="cellIs" dxfId="2" priority="4" operator="greaterThanOrEqual">
      <formula>0.05</formula>
    </cfRule>
  </conditionalFormatting>
  <conditionalFormatting sqref="Y1:AA1">
    <cfRule type="cellIs" dxfId="1" priority="2" operator="notEqual">
      <formula>0</formula>
    </cfRule>
  </conditionalFormatting>
  <conditionalFormatting sqref="Y2">
    <cfRule type="cellIs" dxfId="0" priority="1" operator="notEqual">
      <formula>0</formula>
    </cfRule>
  </conditionalFormatting>
  <pageMargins left="0.7" right="0.7" top="0.78740157499999996" bottom="0.78740157499999996" header="0.3" footer="0.3"/>
  <pageSetup paperSize="9" orientation="portrait" horizontalDpi="90" verticalDpi="90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Kunden (2)</vt:lpstr>
      <vt:lpstr>'Kunden (2)'!SAPCrosstab5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Schettler</dc:creator>
  <cp:lastModifiedBy>Julian Schettler</cp:lastModifiedBy>
  <dcterms:created xsi:type="dcterms:W3CDTF">2022-01-17T10:44:03Z</dcterms:created>
  <dcterms:modified xsi:type="dcterms:W3CDTF">2022-01-17T10:46:42Z</dcterms:modified>
</cp:coreProperties>
</file>