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 codeName="{37A63EE7-654F-3FA9-A528-636911D70600}"/>
  <workbookPr filterPrivacy="1" codeName="DieseArbeitsmappe"/>
  <xr:revisionPtr revIDLastSave="0" documentId="13_ncr:1_{981857D1-66A6-4E99-B40B-F541D04287A8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Kunden" sheetId="2" r:id="rId1"/>
    <sheet name=" Mitarbeiter" sheetId="17" r:id="rId2"/>
    <sheet name="160" sheetId="12" r:id="rId3"/>
    <sheet name="Leistungen" sheetId="18" r:id="rId4"/>
  </sheets>
  <definedNames>
    <definedName name="_xlnm._FilterDatabase" localSheetId="1" hidden="1">' Mitarbeiter'!$A$1:$R$1</definedName>
    <definedName name="_xlnm.Print_Area" localSheetId="2">'160'!$A$1:$D$46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8" l="1"/>
  <c r="B2" i="18"/>
  <c r="F11" i="12"/>
  <c r="B4" i="18"/>
  <c r="P3" i="2"/>
  <c r="B1" i="18"/>
  <c r="P2" i="2"/>
  <c r="A2" i="17"/>
  <c r="G8" i="12" s="1"/>
  <c r="C2" i="17" l="1"/>
  <c r="G5" i="12"/>
  <c r="F13" i="12"/>
  <c r="K16" i="12" l="1"/>
  <c r="K15" i="12"/>
  <c r="A38" i="12"/>
  <c r="C29" i="12"/>
  <c r="D29" i="12" s="1"/>
  <c r="B29" i="12"/>
  <c r="C28" i="12"/>
  <c r="D28" i="12" s="1"/>
  <c r="B28" i="12"/>
  <c r="B25" i="12"/>
  <c r="A25" i="12"/>
  <c r="D18" i="12"/>
  <c r="C25" i="12" s="1"/>
  <c r="A9" i="12"/>
  <c r="A7" i="12"/>
  <c r="A6" i="12"/>
  <c r="A5" i="12"/>
  <c r="A3" i="2"/>
  <c r="A3" i="17" s="1"/>
  <c r="X2" i="2"/>
  <c r="X3" i="2"/>
  <c r="W3" i="2"/>
  <c r="B3" i="2" s="1"/>
  <c r="W2" i="2"/>
  <c r="B2" i="2" s="1"/>
  <c r="D25" i="12" s="1"/>
  <c r="D32" i="12"/>
  <c r="B3" i="17" l="1"/>
  <c r="D3" i="17"/>
  <c r="G3" i="17" s="1"/>
  <c r="C3" i="17"/>
  <c r="K3" i="12"/>
  <c r="K8" i="12" s="1"/>
  <c r="H3" i="17" l="1"/>
  <c r="I3" i="17" s="1"/>
  <c r="M3" i="17"/>
  <c r="T2" i="2"/>
  <c r="C38" i="12" s="1"/>
  <c r="Q2" i="2"/>
  <c r="Q3" i="2"/>
  <c r="U3" i="2"/>
  <c r="U2" i="2"/>
  <c r="A18" i="12" s="1"/>
  <c r="K9" i="12" s="1"/>
  <c r="K21" i="12" s="1"/>
  <c r="T3" i="2"/>
  <c r="R3" i="2" l="1"/>
  <c r="D33" i="12"/>
  <c r="R2" i="2"/>
  <c r="D35" i="12" l="1"/>
  <c r="K10" i="12" s="1"/>
  <c r="F2" i="17"/>
  <c r="E2" i="17"/>
  <c r="H2" i="17"/>
  <c r="I2" i="17"/>
  <c r="G4" i="12" s="1"/>
  <c r="G2" i="17"/>
  <c r="M2" i="17" s="1"/>
  <c r="G6" i="12" s="1"/>
  <c r="B2" i="17"/>
  <c r="D2" i="17"/>
  <c r="B38" i="12" l="1"/>
</calcChain>
</file>

<file path=xl/sharedStrings.xml><?xml version="1.0" encoding="utf-8"?>
<sst xmlns="http://schemas.openxmlformats.org/spreadsheetml/2006/main" count="137" uniqueCount="111">
  <si>
    <t>MENGE</t>
  </si>
  <si>
    <t>BESCHREIBUNG</t>
  </si>
  <si>
    <t>EINZELPREIS</t>
  </si>
  <si>
    <t>ZWISCHENSUMME</t>
  </si>
  <si>
    <t>ZEILENSUMME</t>
  </si>
  <si>
    <t>ORT</t>
  </si>
  <si>
    <t>LEISTUNGSZEITRAUM</t>
  </si>
  <si>
    <t>vielen Dank für Ihren Auftrag und das damit verbundene Vertrauen!</t>
  </si>
  <si>
    <t>IBAN</t>
  </si>
  <si>
    <t>BANK</t>
  </si>
  <si>
    <t>BIC</t>
  </si>
  <si>
    <t>UST-ID NR:</t>
  </si>
  <si>
    <t>FINANZAMT</t>
  </si>
  <si>
    <t>Finanzamt Wuppertal</t>
  </si>
  <si>
    <t xml:space="preserve">Wir bedanken uns für Ihren Auftrag und freuen uns über Ihre nächste Kontaktaufnahme. </t>
  </si>
  <si>
    <t>RECHNUNGSBETRAG</t>
  </si>
  <si>
    <t>INTERNER VERMERK</t>
  </si>
  <si>
    <t>Kundenname</t>
  </si>
  <si>
    <t>Adresse</t>
  </si>
  <si>
    <t>PLZ &amp; Ort</t>
  </si>
  <si>
    <t>Objekt</t>
  </si>
  <si>
    <t>Leistungsort</t>
  </si>
  <si>
    <t>Leistungen</t>
  </si>
  <si>
    <t>Zahlungsziel</t>
  </si>
  <si>
    <t>Düsseldorf</t>
  </si>
  <si>
    <t xml:space="preserve">Materialanteil                           </t>
  </si>
  <si>
    <t>Gesamt Netto</t>
  </si>
  <si>
    <t>Gesamt</t>
  </si>
  <si>
    <t>Bis</t>
  </si>
  <si>
    <t>Anrede</t>
  </si>
  <si>
    <t>R.Nummer</t>
  </si>
  <si>
    <t>I.Vermerk</t>
  </si>
  <si>
    <t>R.Datum</t>
  </si>
  <si>
    <t>RECHNUNG</t>
  </si>
  <si>
    <t>sofort</t>
  </si>
  <si>
    <t>ZAHLUNGSZIEL</t>
  </si>
  <si>
    <t>Frau</t>
  </si>
  <si>
    <t>Herr</t>
  </si>
  <si>
    <t>Vorname</t>
  </si>
  <si>
    <t>Nachname</t>
  </si>
  <si>
    <t>40547 Düsseldorf</t>
  </si>
  <si>
    <t xml:space="preserve">Lohnanteil inkl. Fahrtkosten  </t>
  </si>
  <si>
    <t>40629 Düsseldorf</t>
  </si>
  <si>
    <t>Name:</t>
  </si>
  <si>
    <t>Pfad:</t>
  </si>
  <si>
    <t>Objektnummer</t>
  </si>
  <si>
    <t>RECHNUNGSNR</t>
  </si>
  <si>
    <t>Test</t>
  </si>
  <si>
    <t>Für unsere Arbeitsleistung im letzten Monat erlaube ich mir folgendes in Rechnung zu stellen:</t>
  </si>
  <si>
    <t>Jahr</t>
  </si>
  <si>
    <t>Monat</t>
  </si>
  <si>
    <t xml:space="preserve">19 % MwSt. </t>
  </si>
  <si>
    <t>C:\Users\Andre.Hachem\Desktop\</t>
  </si>
  <si>
    <t>An:</t>
  </si>
  <si>
    <t>Betreff:</t>
  </si>
  <si>
    <t>Anrede:</t>
  </si>
  <si>
    <t>Rechnung:</t>
  </si>
  <si>
    <t>Text:</t>
  </si>
  <si>
    <t>Vorschau:</t>
  </si>
  <si>
    <t>Bei etwaigen Fragen oder Problemen im Zusammenhang mit unserer Leistung, können Sie uns jederzeit kontaktieren.</t>
  </si>
  <si>
    <t>Freundliche Grüße</t>
  </si>
  <si>
    <t>Mitarbeiter</t>
  </si>
  <si>
    <t>Lohn</t>
  </si>
  <si>
    <t>Ertrag</t>
  </si>
  <si>
    <t>DB1</t>
  </si>
  <si>
    <t>sonstiger Abzug</t>
  </si>
  <si>
    <t>DB2</t>
  </si>
  <si>
    <t>Kalkulation</t>
  </si>
  <si>
    <t xml:space="preserve">Mitarbeiter: </t>
  </si>
  <si>
    <t>Lohnkosten:</t>
  </si>
  <si>
    <t>Ertrag:</t>
  </si>
  <si>
    <t>r.Dauer</t>
  </si>
  <si>
    <t xml:space="preserve">Std. </t>
  </si>
  <si>
    <t>R.Dauer</t>
  </si>
  <si>
    <t>Wir hoffen, dass Sie mit der Leisutng zufrieden sind und übersenden Ihnen anbei die beigefügte Rechnung.
Bitte begleichen Sie den aufgeführten Betrag auf folgendes Konto:</t>
  </si>
  <si>
    <t>Leistungsverzeichnis</t>
  </si>
  <si>
    <t>Leistung 2</t>
  </si>
  <si>
    <t>Leistung 3</t>
  </si>
  <si>
    <t>Leistung 4</t>
  </si>
  <si>
    <t>Leistung 5</t>
  </si>
  <si>
    <t>Leistung 6</t>
  </si>
  <si>
    <t>Leistung 7</t>
  </si>
  <si>
    <t>Standard</t>
  </si>
  <si>
    <t>Reinigung des Treppenhauses</t>
  </si>
  <si>
    <t>Hauseingangstüre</t>
  </si>
  <si>
    <t>Briefkästen und Klingelanlage</t>
  </si>
  <si>
    <t>Hauseingansmatte (abkehren)</t>
  </si>
  <si>
    <t>Spinnwebenentfernung</t>
  </si>
  <si>
    <t>Reinigung der Kellergänge</t>
  </si>
  <si>
    <t>Monatlich:</t>
  </si>
  <si>
    <t>Wöchentlich:</t>
  </si>
  <si>
    <t>Ränder &amp;  Geländer</t>
  </si>
  <si>
    <t>Reinigung der Tiefgarage</t>
  </si>
  <si>
    <t xml:space="preserve">Zusätzliche Leistungen: </t>
  </si>
  <si>
    <t>monaltiche Reinigung der Tiefgarage</t>
  </si>
  <si>
    <t>Reinigung der Fenster</t>
  </si>
  <si>
    <t>test</t>
  </si>
  <si>
    <t>test 2</t>
  </si>
  <si>
    <t>test@test.de</t>
  </si>
  <si>
    <t>Kontoinhaber: Test</t>
  </si>
  <si>
    <t>DE</t>
  </si>
  <si>
    <t>Testkunde</t>
  </si>
  <si>
    <t>Musterkunde</t>
  </si>
  <si>
    <t>André</t>
  </si>
  <si>
    <t>Andrea</t>
  </si>
  <si>
    <t>Testobjekt</t>
  </si>
  <si>
    <t>Musterobjekt</t>
  </si>
  <si>
    <t>Hans</t>
  </si>
  <si>
    <t>Britta</t>
  </si>
  <si>
    <t xml:space="preserve">ABC Straße </t>
  </si>
  <si>
    <t xml:space="preserve">XYZ Straße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</si>
</sst>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7]d/\ mmmm\ yyyy;@"/>
    <numFmt numFmtId="168" formatCode="#,##0.00\ &quot;€&quot;"/>
    <numFmt numFmtId="170" formatCode="#,##0.00\ _€"/>
  </numFmts>
  <fonts count="37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8"/>
      <name val="Trebuchet MS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b/>
      <sz val="13"/>
      <color theme="3"/>
      <name val="Trebuchet MS"/>
      <family val="2"/>
      <scheme val="minor"/>
    </font>
    <font>
      <sz val="20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u/>
      <sz val="7"/>
      <color theme="1"/>
      <name val="Trebuchet MS"/>
      <family val="2"/>
      <scheme val="minor"/>
    </font>
    <font>
      <sz val="11"/>
      <name val="Microsoft Sans Serif"/>
      <family val="2"/>
    </font>
    <font>
      <b/>
      <sz val="11"/>
      <name val="Microsoft Sans Serif"/>
      <family val="2"/>
    </font>
    <font>
      <sz val="11"/>
      <name val="Trebuchet MS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name val="Microsoft Sans Serif"/>
      <family val="2"/>
    </font>
    <font>
      <u val="double"/>
      <sz val="11"/>
      <color theme="1"/>
      <name val="Microsoft Sans Serif"/>
      <family val="2"/>
    </font>
    <font>
      <sz val="11"/>
      <color rgb="FF000000"/>
      <name val="Microsoft Sans Serif"/>
      <family val="2"/>
    </font>
    <font>
      <u/>
      <sz val="11"/>
      <color theme="10"/>
      <name val="Microsoft Sans Serif"/>
      <family val="2"/>
    </font>
    <font>
      <sz val="8"/>
      <color rgb="FF000000"/>
      <name val="Microsoft Sans Serif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D278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8" fillId="4" borderId="0" applyNumberFormat="0" applyAlignment="0" applyProtection="0"/>
    <xf numFmtId="0" fontId="7" fillId="3" borderId="1" applyNumberFormat="0" applyAlignment="0" applyProtection="0"/>
    <xf numFmtId="0" fontId="11" fillId="0" borderId="2" applyNumberFormat="0" applyFill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top" readingOrder="1"/>
    </xf>
    <xf numFmtId="0" fontId="9" fillId="0" borderId="0" xfId="0" applyFont="1" applyAlignment="1">
      <alignment vertical="top" readingOrder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left" wrapText="1" indent="1"/>
    </xf>
    <xf numFmtId="0" fontId="28" fillId="0" borderId="0" xfId="0" applyFont="1"/>
    <xf numFmtId="0" fontId="28" fillId="0" borderId="0" xfId="0" applyFont="1" applyAlignment="1">
      <alignment horizontal="right"/>
    </xf>
    <xf numFmtId="166" fontId="27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0" fontId="27" fillId="0" borderId="0" xfId="0" applyFont="1"/>
    <xf numFmtId="0" fontId="0" fillId="0" borderId="0" xfId="0" applyAlignment="1">
      <alignment horizontal="right" vertical="center"/>
    </xf>
    <xf numFmtId="0" fontId="27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6" fontId="27" fillId="0" borderId="0" xfId="0" applyNumberFormat="1" applyFont="1"/>
    <xf numFmtId="0" fontId="30" fillId="0" borderId="0" xfId="0" applyFont="1"/>
    <xf numFmtId="14" fontId="30" fillId="0" borderId="0" xfId="0" applyNumberFormat="1" applyFont="1"/>
    <xf numFmtId="0" fontId="31" fillId="0" borderId="0" xfId="0" applyFont="1" applyAlignment="1">
      <alignment horizontal="center"/>
    </xf>
    <xf numFmtId="9" fontId="31" fillId="0" borderId="0" xfId="0" applyNumberFormat="1" applyFont="1" applyAlignment="1">
      <alignment horizontal="center"/>
    </xf>
    <xf numFmtId="168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168" fontId="30" fillId="0" borderId="0" xfId="0" applyNumberFormat="1" applyFont="1"/>
    <xf numFmtId="0" fontId="2" fillId="35" borderId="0" xfId="0" applyFont="1" applyFill="1" applyAlignment="1">
      <alignment vertical="top"/>
    </xf>
    <xf numFmtId="0" fontId="2" fillId="35" borderId="0" xfId="0" applyFont="1" applyFill="1"/>
    <xf numFmtId="0" fontId="4" fillId="35" borderId="0" xfId="0" applyFont="1" applyFill="1"/>
    <xf numFmtId="0" fontId="7" fillId="34" borderId="0" xfId="2" applyFill="1" applyBorder="1" applyAlignment="1">
      <alignment horizontal="left" vertical="center"/>
    </xf>
    <xf numFmtId="14" fontId="2" fillId="0" borderId="0" xfId="0" applyNumberFormat="1" applyFont="1"/>
    <xf numFmtId="0" fontId="32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168" fontId="27" fillId="0" borderId="0" xfId="0" applyNumberFormat="1" applyFont="1" applyAlignment="1">
      <alignment horizontal="left" wrapText="1"/>
    </xf>
    <xf numFmtId="0" fontId="31" fillId="0" borderId="0" xfId="0" applyFont="1" applyAlignment="1">
      <alignment horizontal="left"/>
    </xf>
    <xf numFmtId="168" fontId="0" fillId="0" borderId="0" xfId="0" applyNumberFormat="1" applyAlignment="1">
      <alignment horizontal="left"/>
    </xf>
    <xf numFmtId="0" fontId="4" fillId="0" borderId="0" xfId="0" applyFont="1" applyAlignment="1">
      <alignment horizontal="left" vertical="top"/>
    </xf>
    <xf numFmtId="168" fontId="33" fillId="36" borderId="0" xfId="0" applyNumberFormat="1" applyFont="1" applyFill="1" applyAlignment="1">
      <alignment horizontal="left"/>
    </xf>
    <xf numFmtId="9" fontId="27" fillId="0" borderId="0" xfId="0" applyNumberFormat="1" applyFont="1" applyAlignment="1">
      <alignment horizontal="right" wrapText="1"/>
    </xf>
    <xf numFmtId="0" fontId="0" fillId="36" borderId="0" xfId="0" applyFill="1" applyAlignment="1">
      <alignment horizontal="left"/>
    </xf>
    <xf numFmtId="0" fontId="7" fillId="34" borderId="10" xfId="2" applyFill="1" applyBorder="1" applyAlignment="1">
      <alignment horizontal="left" vertical="center"/>
    </xf>
    <xf numFmtId="1" fontId="30" fillId="0" borderId="0" xfId="0" applyNumberFormat="1" applyFont="1"/>
    <xf numFmtId="0" fontId="27" fillId="2" borderId="0" xfId="0" applyFont="1" applyFill="1" applyAlignment="1">
      <alignment horizontal="left"/>
    </xf>
    <xf numFmtId="168" fontId="4" fillId="0" borderId="0" xfId="0" applyNumberFormat="1" applyFont="1" applyAlignment="1">
      <alignment horizontal="left"/>
    </xf>
    <xf numFmtId="0" fontId="32" fillId="0" borderId="0" xfId="0" applyFont="1" applyAlignment="1">
      <alignment horizontal="left" wrapText="1"/>
    </xf>
    <xf numFmtId="0" fontId="2" fillId="0" borderId="0" xfId="0" applyFont="1"/>
    <xf numFmtId="0" fontId="12" fillId="0" borderId="0" xfId="0" applyFont="1" applyAlignment="1">
      <alignment horizontal="center" vertical="center" readingOrder="1"/>
    </xf>
    <xf numFmtId="0" fontId="27" fillId="0" borderId="0" xfId="0" applyFont="1" applyAlignment="1">
      <alignment horizontal="left" vertical="top" indent="1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35" borderId="0" xfId="0" applyFont="1" applyFill="1" applyAlignment="1">
      <alignment horizontal="center" vertical="top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170" fontId="31" fillId="0" borderId="0" xfId="0" applyNumberFormat="1" applyFont="1" applyAlignment="1">
      <alignment horizontal="center"/>
    </xf>
    <xf numFmtId="170" fontId="30" fillId="0" borderId="0" xfId="0" applyNumberFormat="1" applyFont="1"/>
    <xf numFmtId="0" fontId="31" fillId="0" borderId="0" xfId="0" applyNumberFormat="1" applyFont="1" applyAlignment="1">
      <alignment horizontal="center"/>
    </xf>
    <xf numFmtId="0" fontId="30" fillId="0" borderId="0" xfId="0" applyNumberFormat="1" applyFont="1"/>
    <xf numFmtId="0" fontId="4" fillId="0" borderId="0" xfId="0" applyNumberFormat="1" applyFont="1" applyAlignment="1">
      <alignment horizontal="right"/>
    </xf>
    <xf numFmtId="0" fontId="4" fillId="36" borderId="0" xfId="0" applyFont="1" applyFill="1"/>
    <xf numFmtId="0" fontId="4" fillId="36" borderId="0" xfId="0" applyFont="1" applyFill="1" applyAlignment="1">
      <alignment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1" fontId="30" fillId="0" borderId="0" xfId="0" applyNumberFormat="1" applyFont="1" applyAlignment="1">
      <alignment horizontal="left"/>
    </xf>
    <xf numFmtId="0" fontId="35" fillId="0" borderId="0" xfId="47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6" builtinId="21" customBuiltin="1"/>
    <cellStyle name="Berechnung" xfId="17" builtinId="22" customBuiltin="1"/>
    <cellStyle name="Dezimal [0]" xfId="5" builtinId="6" customBuiltin="1"/>
    <cellStyle name="Eingabe" xfId="15" builtinId="20" customBuiltin="1"/>
    <cellStyle name="Ergebnis" xfId="22" builtinId="25" customBuiltin="1"/>
    <cellStyle name="Erklärender Text" xfId="21" builtinId="53" customBuiltin="1"/>
    <cellStyle name="Gut" xfId="13" builtinId="26" customBuiltin="1"/>
    <cellStyle name="Komma" xfId="4" builtinId="3" customBuiltin="1"/>
    <cellStyle name="Link" xfId="47" builtinId="8"/>
    <cellStyle name="Neutral" xfId="1" builtinId="28" customBuiltin="1"/>
    <cellStyle name="Notiz" xfId="20" builtinId="10" customBuiltin="1"/>
    <cellStyle name="Prozent" xfId="8" builtinId="5" customBuiltin="1"/>
    <cellStyle name="Schlecht" xfId="14" builtinId="27" customBuiltin="1"/>
    <cellStyle name="Standard" xfId="0" builtinId="0" customBuiltin="1"/>
    <cellStyle name="Überschrift" xfId="9" builtinId="15" customBuiltin="1"/>
    <cellStyle name="Überschrift 1" xfId="10" builtinId="16" customBuiltin="1"/>
    <cellStyle name="Überschrift 2" xfId="3" builtinId="17" customBuiltin="1"/>
    <cellStyle name="Überschrift 3" xfId="11" builtinId="18" customBuiltin="1"/>
    <cellStyle name="Überschrift 4" xfId="12" builtinId="19" customBuiltin="1"/>
    <cellStyle name="Verknüpfte Zelle" xfId="18" builtinId="24" customBuiltin="1"/>
    <cellStyle name="Währung" xfId="6" builtinId="4" customBuiltin="1"/>
    <cellStyle name="Währung [0]" xfId="7" builtinId="7" customBuiltin="1"/>
    <cellStyle name="Warnender Text" xfId="19" builtinId="11" customBuiltin="1"/>
    <cellStyle name="Zelle überprüfen" xfId="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1D2781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657354</xdr:colOff>
      <xdr:row>0</xdr:row>
      <xdr:rowOff>228600</xdr:rowOff>
    </xdr:from>
    <xdr:to>
      <xdr:col>1</xdr:col>
      <xdr:colOff>43685</xdr:colOff>
      <xdr:row>0</xdr:row>
      <xdr:rowOff>561975</xdr:rowOff>
    </xdr:to>
    <xdr:pic>
      <xdr:nvPicPr>
        <xdr:cNvPr id="2" name="Grafik 201" descr="Logoplatzhalte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7354" y="228600"/>
          <a:ext cx="767456" cy="3333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2</xdr:row>
          <xdr:rowOff>47625</xdr:rowOff>
        </xdr:from>
        <xdr:to>
          <xdr:col>14</xdr:col>
          <xdr:colOff>0</xdr:colOff>
          <xdr:row>4</xdr:row>
          <xdr:rowOff>57150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Microsoft Sans Serif"/>
                  <a:ea typeface="Microsoft Sans Serif"/>
                  <a:cs typeface="Microsoft Sans Serif"/>
                </a:rPr>
                <a:t>PDF erstellen &amp; Abspreichern funktioniert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6</xdr:row>
          <xdr:rowOff>95250</xdr:rowOff>
        </xdr:from>
        <xdr:to>
          <xdr:col>13</xdr:col>
          <xdr:colOff>666750</xdr:colOff>
          <xdr:row>8</xdr:row>
          <xdr:rowOff>104775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Microsoft Sans Serif"/>
                  <a:ea typeface="Microsoft Sans Serif"/>
                  <a:cs typeface="Microsoft Sans Serif"/>
                </a:rPr>
                <a:t>Alle PDF einzeln abspeichern leider nicht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2</xdr:row>
          <xdr:rowOff>47625</xdr:rowOff>
        </xdr:from>
        <xdr:to>
          <xdr:col>16</xdr:col>
          <xdr:colOff>123825</xdr:colOff>
          <xdr:row>4</xdr:row>
          <xdr:rowOff>57150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Microsoft Sans Serif"/>
                  <a:ea typeface="Microsoft Sans Serif"/>
                  <a:cs typeface="Microsoft Sans Serif"/>
                </a:rPr>
                <a:t>PDF abspeichern funktioniert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6</xdr:row>
          <xdr:rowOff>47625</xdr:rowOff>
        </xdr:from>
        <xdr:to>
          <xdr:col>16</xdr:col>
          <xdr:colOff>0</xdr:colOff>
          <xdr:row>8</xdr:row>
          <xdr:rowOff>95250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84EDF6B-8608-A825-CBAC-671D83679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Microsoft Sans Serif"/>
                  <a:ea typeface="Microsoft Sans Serif"/>
                  <a:cs typeface="Microsoft Sans Serif"/>
                </a:rPr>
                <a:t>PDF erstellen&amp;abspreichern&amp;verschicken leider nicht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6</xdr:row>
          <xdr:rowOff>76200</xdr:rowOff>
        </xdr:from>
        <xdr:to>
          <xdr:col>18</xdr:col>
          <xdr:colOff>66675</xdr:colOff>
          <xdr:row>8</xdr:row>
          <xdr:rowOff>85725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32AC8520-11AF-1404-2CD9-88E929422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Microsoft Sans Serif"/>
                  <a:ea typeface="Microsoft Sans Serif"/>
                  <a:cs typeface="Microsoft Sans Serif"/>
                </a:rPr>
                <a:t>Alle PDF in ein Dokument leider nicht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st@test.d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C798-DF50-47BD-8C05-F46EB25591F5}">
  <sheetPr codeName="Tabelle2"/>
  <dimension ref="A1:X3"/>
  <sheetViews>
    <sheetView workbookViewId="0">
      <selection activeCell="I14" sqref="I14"/>
    </sheetView>
  </sheetViews>
  <sheetFormatPr baseColWidth="10" defaultColWidth="10.125" defaultRowHeight="11.25" x14ac:dyDescent="0.2"/>
  <cols>
    <col min="1" max="1" width="12" style="22" bestFit="1" customWidth="1"/>
    <col min="2" max="2" width="8.125" style="22" bestFit="1" customWidth="1"/>
    <col min="3" max="3" width="7.875" style="22" bestFit="1" customWidth="1"/>
    <col min="4" max="4" width="7.625" style="22" bestFit="1" customWidth="1"/>
    <col min="5" max="5" width="18.375" style="22" customWidth="1"/>
    <col min="6" max="6" width="6" style="22" bestFit="1" customWidth="1"/>
    <col min="7" max="7" width="6" style="22" customWidth="1"/>
    <col min="8" max="8" width="10.125" style="22"/>
    <col min="9" max="9" width="15" style="22" bestFit="1" customWidth="1"/>
    <col min="10" max="10" width="13.375" style="22" bestFit="1" customWidth="1"/>
    <col min="11" max="11" width="13.875" style="22" bestFit="1" customWidth="1"/>
    <col min="12" max="12" width="10.375" style="22" customWidth="1"/>
    <col min="13" max="13" width="21.125" style="22" bestFit="1" customWidth="1"/>
    <col min="14" max="14" width="10.25" style="22" customWidth="1"/>
    <col min="15" max="15" width="8.75" style="22" bestFit="1" customWidth="1"/>
    <col min="16" max="16" width="10.25" style="22" bestFit="1" customWidth="1"/>
    <col min="17" max="17" width="6" style="22" customWidth="1"/>
    <col min="18" max="18" width="7.75" style="22" customWidth="1"/>
    <col min="19" max="20" width="10.125" style="22"/>
    <col min="21" max="21" width="23.125" style="22" bestFit="1" customWidth="1"/>
    <col min="22" max="16384" width="10.125" style="22"/>
  </cols>
  <sheetData>
    <row r="1" spans="1:24" x14ac:dyDescent="0.2">
      <c r="A1" s="22" t="s">
        <v>45</v>
      </c>
      <c r="B1" s="24" t="s">
        <v>30</v>
      </c>
      <c r="C1" s="24" t="s">
        <v>31</v>
      </c>
      <c r="D1" s="24" t="s">
        <v>32</v>
      </c>
      <c r="E1" s="24" t="s">
        <v>17</v>
      </c>
      <c r="F1" s="24" t="s">
        <v>29</v>
      </c>
      <c r="G1" s="24" t="s">
        <v>38</v>
      </c>
      <c r="H1" s="24" t="s">
        <v>39</v>
      </c>
      <c r="I1" s="24" t="s">
        <v>18</v>
      </c>
      <c r="J1" s="24" t="s">
        <v>19</v>
      </c>
      <c r="K1" s="24" t="s">
        <v>20</v>
      </c>
      <c r="L1" s="24" t="s">
        <v>21</v>
      </c>
      <c r="M1" s="24" t="s">
        <v>41</v>
      </c>
      <c r="N1" s="37" t="s">
        <v>25</v>
      </c>
      <c r="O1" s="24" t="s">
        <v>22</v>
      </c>
      <c r="P1" s="24" t="s">
        <v>26</v>
      </c>
      <c r="Q1" s="25">
        <v>0.19</v>
      </c>
      <c r="R1" s="24" t="s">
        <v>27</v>
      </c>
      <c r="S1" s="24" t="s">
        <v>23</v>
      </c>
      <c r="T1" s="24" t="s">
        <v>28</v>
      </c>
      <c r="U1" s="24" t="s">
        <v>29</v>
      </c>
      <c r="V1" s="22" t="s">
        <v>20</v>
      </c>
      <c r="W1" s="22" t="s">
        <v>49</v>
      </c>
      <c r="X1" s="22" t="s">
        <v>50</v>
      </c>
    </row>
    <row r="2" spans="1:24" x14ac:dyDescent="0.2">
      <c r="A2" s="44">
        <v>117</v>
      </c>
      <c r="B2" s="22" t="str">
        <f>CONCATENATE(V2,"-",W2,"-",X2)</f>
        <v>117-2023-1</v>
      </c>
      <c r="C2" s="22">
        <v>3034</v>
      </c>
      <c r="D2" s="23">
        <v>44927</v>
      </c>
      <c r="E2" s="22" t="s">
        <v>101</v>
      </c>
      <c r="F2" s="22" t="s">
        <v>37</v>
      </c>
      <c r="G2" s="22" t="s">
        <v>103</v>
      </c>
      <c r="H2" s="22" t="s">
        <v>101</v>
      </c>
      <c r="I2" s="22" t="s">
        <v>109</v>
      </c>
      <c r="J2" s="22" t="s">
        <v>42</v>
      </c>
      <c r="K2" s="22" t="s">
        <v>105</v>
      </c>
      <c r="L2" s="22" t="s">
        <v>24</v>
      </c>
      <c r="M2" s="22">
        <v>125</v>
      </c>
      <c r="N2" s="22">
        <v>15</v>
      </c>
      <c r="O2" s="22" t="s">
        <v>82</v>
      </c>
      <c r="P2" s="28">
        <f>M2+N2</f>
        <v>140</v>
      </c>
      <c r="Q2" s="28">
        <f t="shared" ref="Q2:Q3" si="0">P2*19%</f>
        <v>26.6</v>
      </c>
      <c r="R2" s="28">
        <f t="shared" ref="R2:R3" si="1">Q2+P2</f>
        <v>166.6</v>
      </c>
      <c r="S2" s="22" t="s">
        <v>34</v>
      </c>
      <c r="T2" s="23" t="str">
        <f t="shared" ref="T2:T3" si="2">IF(S2="sofort","sofort",D2+S2)</f>
        <v>sofort</v>
      </c>
      <c r="U2" s="22" t="str">
        <f t="shared" ref="U2:U3" si="3">IF(F2="Frau",CONCATENATE("Sehr geehrte"," ",F2," ",H2,","),IF(F2="Herr",CONCATENATE("Sehr geehrter"," ",F2," ",H2,","),"Sehr geehrte Damen und Herren,"))</f>
        <v>Sehr geehrter Herr Testkunde,</v>
      </c>
      <c r="V2" s="22">
        <v>117</v>
      </c>
      <c r="W2" s="22">
        <f>YEAR(D2)</f>
        <v>2023</v>
      </c>
      <c r="X2" s="22">
        <f>MONTH(D2)</f>
        <v>1</v>
      </c>
    </row>
    <row r="3" spans="1:24" x14ac:dyDescent="0.2">
      <c r="A3" s="44">
        <f>160*1</f>
        <v>160</v>
      </c>
      <c r="B3" s="22" t="str">
        <f t="shared" ref="B3" si="4">CONCATENATE(V3,"-",W3,"-",X3)</f>
        <v>160-2023-1</v>
      </c>
      <c r="C3" s="22">
        <v>3028</v>
      </c>
      <c r="D3" s="23">
        <v>44927</v>
      </c>
      <c r="E3" s="22" t="s">
        <v>102</v>
      </c>
      <c r="F3" s="22" t="s">
        <v>36</v>
      </c>
      <c r="G3" s="22" t="s">
        <v>104</v>
      </c>
      <c r="H3" s="22" t="s">
        <v>102</v>
      </c>
      <c r="I3" s="22" t="s">
        <v>110</v>
      </c>
      <c r="J3" s="22" t="s">
        <v>40</v>
      </c>
      <c r="K3" s="22" t="s">
        <v>106</v>
      </c>
      <c r="L3" s="22" t="s">
        <v>24</v>
      </c>
      <c r="M3" s="22">
        <v>1000</v>
      </c>
      <c r="N3" s="22">
        <v>10</v>
      </c>
      <c r="O3" s="22" t="s">
        <v>76</v>
      </c>
      <c r="P3" s="28">
        <f t="shared" ref="P3" si="5">M3+N3</f>
        <v>1010</v>
      </c>
      <c r="Q3" s="28">
        <f t="shared" si="0"/>
        <v>191.9</v>
      </c>
      <c r="R3" s="28">
        <f t="shared" si="1"/>
        <v>1201.9000000000001</v>
      </c>
      <c r="S3" s="22">
        <v>14</v>
      </c>
      <c r="T3" s="23">
        <f t="shared" si="2"/>
        <v>44941</v>
      </c>
      <c r="U3" s="22" t="str">
        <f t="shared" si="3"/>
        <v>Sehr geehrte Frau Musterkunde,</v>
      </c>
      <c r="V3" s="22">
        <v>160</v>
      </c>
      <c r="W3" s="22">
        <f t="shared" ref="W3" si="6">YEAR(D3)</f>
        <v>2023</v>
      </c>
      <c r="X3" s="22">
        <f t="shared" ref="X3" si="7">MONTH(D3)</f>
        <v>1</v>
      </c>
    </row>
  </sheetData>
  <sortState xmlns:xlrd2="http://schemas.microsoft.com/office/spreadsheetml/2017/richdata2" ref="B2:U3">
    <sortCondition ref="E2:E3"/>
  </sortState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0343-7A1E-4FFC-B56C-76A4A8C4F60B}">
  <sheetPr codeName="Tabelle11"/>
  <dimension ref="A1:S44"/>
  <sheetViews>
    <sheetView workbookViewId="0">
      <selection activeCell="G17" sqref="G17"/>
    </sheetView>
  </sheetViews>
  <sheetFormatPr baseColWidth="10" defaultColWidth="10.125" defaultRowHeight="11.25" x14ac:dyDescent="0.2"/>
  <cols>
    <col min="1" max="1" width="11.375" style="22" bestFit="1" customWidth="1"/>
    <col min="2" max="2" width="14" style="22" bestFit="1" customWidth="1"/>
    <col min="3" max="3" width="12.75" style="22" customWidth="1"/>
    <col min="4" max="4" width="21.125" style="22" bestFit="1" customWidth="1"/>
    <col min="5" max="5" width="10.25" style="22" customWidth="1"/>
    <col min="6" max="6" width="8.75" style="22" bestFit="1" customWidth="1"/>
    <col min="7" max="7" width="10.25" style="22" bestFit="1" customWidth="1"/>
    <col min="8" max="8" width="6.125" style="22" bestFit="1" customWidth="1"/>
    <col min="9" max="9" width="7.75" style="22" customWidth="1"/>
    <col min="10" max="10" width="10.125" style="22"/>
    <col min="11" max="11" width="10.125" style="57"/>
    <col min="12" max="12" width="10.125" style="59"/>
    <col min="13" max="13" width="23.125" style="22" bestFit="1" customWidth="1"/>
    <col min="14" max="16384" width="10.125" style="22"/>
  </cols>
  <sheetData>
    <row r="1" spans="1:19" x14ac:dyDescent="0.2">
      <c r="A1" s="22" t="s">
        <v>45</v>
      </c>
      <c r="B1" s="22" t="s">
        <v>20</v>
      </c>
      <c r="C1" s="22" t="s">
        <v>22</v>
      </c>
      <c r="D1" s="24" t="s">
        <v>41</v>
      </c>
      <c r="E1" s="37" t="s">
        <v>25</v>
      </c>
      <c r="F1" s="24" t="s">
        <v>22</v>
      </c>
      <c r="G1" s="24" t="s">
        <v>26</v>
      </c>
      <c r="H1" s="25">
        <v>0.19</v>
      </c>
      <c r="I1" s="24" t="s">
        <v>27</v>
      </c>
      <c r="J1" s="24" t="s">
        <v>61</v>
      </c>
      <c r="K1" s="56" t="s">
        <v>62</v>
      </c>
      <c r="L1" s="58" t="s">
        <v>71</v>
      </c>
      <c r="M1" s="24" t="s">
        <v>63</v>
      </c>
      <c r="N1" s="22" t="s">
        <v>64</v>
      </c>
      <c r="O1" s="22" t="s">
        <v>65</v>
      </c>
      <c r="P1" s="22" t="s">
        <v>66</v>
      </c>
    </row>
    <row r="2" spans="1:19" x14ac:dyDescent="0.2">
      <c r="A2" s="70">
        <f>Kunden!A2</f>
        <v>117</v>
      </c>
      <c r="B2" s="70" t="str">
        <f>VLOOKUP(A2,Kunden!A2:R3,11,0)</f>
        <v>Testobjekt</v>
      </c>
      <c r="C2" s="70" t="str">
        <f>VLOOKUP(A2,Kunden!A2:R3,15,0)</f>
        <v>Standard</v>
      </c>
      <c r="D2" s="22">
        <f>VLOOKUP(A2,Kunden!A2:R3,13,0)</f>
        <v>125</v>
      </c>
      <c r="E2" s="22">
        <f>VLOOKUP(A2,Kunden!A2:R3,14,0)</f>
        <v>15</v>
      </c>
      <c r="F2" s="22" t="str">
        <f>VLOOKUP(A2,Kunden!A2:R3,15,0)</f>
        <v>Standard</v>
      </c>
      <c r="G2" s="28">
        <f>VLOOKUP(A2,Kunden!A2:R3,16,0)</f>
        <v>140</v>
      </c>
      <c r="H2" s="28">
        <f>VLOOKUP(A2,Kunden!A2:R3,17,0)</f>
        <v>26.6</v>
      </c>
      <c r="I2" s="28">
        <f>VLOOKUP(A2,Kunden!A2:R3,18,0)</f>
        <v>166.6</v>
      </c>
      <c r="J2" s="22" t="s">
        <v>107</v>
      </c>
      <c r="K2" s="28">
        <v>50</v>
      </c>
      <c r="L2" s="59">
        <v>1</v>
      </c>
      <c r="M2" s="28">
        <f>G2-K2</f>
        <v>90</v>
      </c>
      <c r="N2" s="28"/>
      <c r="O2" s="28"/>
      <c r="P2" s="28"/>
      <c r="Q2" s="28"/>
      <c r="R2" s="28"/>
      <c r="S2" s="28"/>
    </row>
    <row r="3" spans="1:19" x14ac:dyDescent="0.2">
      <c r="A3" s="70">
        <f>Kunden!A3</f>
        <v>160</v>
      </c>
      <c r="B3" s="70" t="str">
        <f>VLOOKUP(A3,Kunden!A2:R3,11,0)</f>
        <v>Musterobjekt</v>
      </c>
      <c r="C3" s="70" t="str">
        <f>VLOOKUP(A3,Kunden!A2:R3,15,0)</f>
        <v>Leistung 2</v>
      </c>
      <c r="D3" s="22">
        <f>VLOOKUP(A3,Kunden!A2:R3,13,0)</f>
        <v>1000</v>
      </c>
      <c r="E3" s="22">
        <v>10</v>
      </c>
      <c r="G3" s="28">
        <f t="shared" ref="G3:G8" si="0">D3+E3+F3</f>
        <v>1010</v>
      </c>
      <c r="H3" s="28">
        <f t="shared" ref="H3:H8" si="1">G3*19%</f>
        <v>191.9</v>
      </c>
      <c r="I3" s="28">
        <f t="shared" ref="I3:I8" si="2">H3+G3</f>
        <v>1201.9000000000001</v>
      </c>
      <c r="J3" s="22" t="s">
        <v>108</v>
      </c>
      <c r="K3" s="28">
        <v>100</v>
      </c>
      <c r="L3" s="59">
        <v>4</v>
      </c>
      <c r="M3" s="28">
        <f>G3-K3</f>
        <v>910</v>
      </c>
      <c r="N3" s="28"/>
      <c r="O3" s="28"/>
      <c r="P3" s="28"/>
      <c r="Q3" s="28"/>
      <c r="R3" s="28"/>
      <c r="S3" s="28"/>
    </row>
    <row r="4" spans="1:19" x14ac:dyDescent="0.2">
      <c r="K4" s="22"/>
      <c r="L4" s="22"/>
      <c r="O4" s="28"/>
      <c r="P4" s="28"/>
      <c r="Q4" s="28"/>
      <c r="R4" s="28"/>
      <c r="S4" s="28"/>
    </row>
    <row r="5" spans="1:19" x14ac:dyDescent="0.2">
      <c r="K5" s="22"/>
      <c r="L5" s="22"/>
      <c r="O5" s="28"/>
      <c r="P5" s="28"/>
      <c r="Q5" s="28"/>
      <c r="R5" s="28"/>
      <c r="S5" s="28"/>
    </row>
    <row r="6" spans="1:19" x14ac:dyDescent="0.2">
      <c r="K6" s="22"/>
      <c r="L6" s="22"/>
      <c r="O6" s="28"/>
      <c r="P6" s="28"/>
      <c r="Q6" s="28"/>
      <c r="R6" s="28"/>
      <c r="S6" s="28"/>
    </row>
    <row r="7" spans="1:19" x14ac:dyDescent="0.2">
      <c r="K7" s="22"/>
      <c r="L7" s="22"/>
      <c r="O7" s="28"/>
      <c r="P7" s="28"/>
      <c r="Q7" s="28"/>
      <c r="R7" s="28"/>
      <c r="S7" s="28"/>
    </row>
    <row r="8" spans="1:19" x14ac:dyDescent="0.2">
      <c r="K8" s="22"/>
      <c r="L8" s="22"/>
      <c r="O8" s="28"/>
      <c r="P8" s="28"/>
      <c r="Q8" s="28"/>
      <c r="R8" s="28"/>
      <c r="S8" s="28"/>
    </row>
    <row r="9" spans="1:19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28"/>
      <c r="M9" s="28"/>
      <c r="N9" s="28"/>
      <c r="O9" s="28"/>
      <c r="P9" s="28"/>
      <c r="Q9" s="28"/>
      <c r="R9" s="28"/>
      <c r="S9" s="28"/>
    </row>
    <row r="10" spans="1:19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28"/>
      <c r="M10" s="28"/>
      <c r="N10" s="28"/>
      <c r="O10" s="28"/>
      <c r="P10" s="28"/>
      <c r="Q10" s="28"/>
      <c r="R10" s="28"/>
      <c r="S10" s="28"/>
    </row>
    <row r="11" spans="1:19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28"/>
      <c r="M11" s="28"/>
      <c r="N11" s="28"/>
      <c r="O11" s="28"/>
      <c r="P11" s="28"/>
      <c r="Q11" s="28"/>
      <c r="R11" s="28"/>
      <c r="S11" s="28"/>
    </row>
    <row r="12" spans="1:19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28"/>
      <c r="M12" s="28"/>
      <c r="N12" s="28"/>
      <c r="O12" s="28"/>
      <c r="P12" s="28"/>
      <c r="Q12" s="28"/>
      <c r="R12" s="28"/>
      <c r="S12" s="28"/>
    </row>
    <row r="13" spans="1:19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28"/>
      <c r="M13" s="28"/>
      <c r="N13" s="28"/>
      <c r="O13" s="28"/>
      <c r="P13" s="28"/>
      <c r="Q13" s="28"/>
      <c r="R13" s="28"/>
      <c r="S13" s="28"/>
    </row>
    <row r="14" spans="1:19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28"/>
      <c r="M14" s="28"/>
      <c r="N14" s="28"/>
      <c r="O14" s="28"/>
      <c r="P14" s="28"/>
      <c r="Q14" s="28"/>
      <c r="R14" s="28"/>
      <c r="S14" s="28"/>
    </row>
    <row r="15" spans="1:19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28"/>
      <c r="M15" s="28"/>
      <c r="N15" s="28"/>
      <c r="O15" s="28"/>
      <c r="P15" s="28"/>
      <c r="Q15" s="28"/>
      <c r="R15" s="28"/>
      <c r="S15" s="28"/>
    </row>
    <row r="16" spans="1:19" x14ac:dyDescent="0.2">
      <c r="K16" s="28"/>
      <c r="M16" s="28"/>
      <c r="N16" s="28"/>
      <c r="O16" s="28"/>
      <c r="P16" s="28"/>
      <c r="Q16" s="28"/>
      <c r="R16" s="28"/>
      <c r="S16" s="28"/>
    </row>
    <row r="17" spans="11:19" x14ac:dyDescent="0.2">
      <c r="K17" s="28"/>
      <c r="M17" s="28"/>
      <c r="N17" s="28"/>
      <c r="O17" s="28"/>
      <c r="P17" s="28"/>
      <c r="Q17" s="28"/>
      <c r="R17" s="28"/>
      <c r="S17" s="28"/>
    </row>
    <row r="18" spans="11:19" x14ac:dyDescent="0.2">
      <c r="K18" s="28"/>
      <c r="M18" s="28"/>
      <c r="N18" s="28"/>
      <c r="O18" s="28"/>
      <c r="P18" s="28"/>
      <c r="Q18" s="28"/>
      <c r="R18" s="28"/>
      <c r="S18" s="28"/>
    </row>
    <row r="19" spans="11:19" x14ac:dyDescent="0.2">
      <c r="K19" s="28"/>
      <c r="M19" s="28"/>
      <c r="N19" s="28"/>
      <c r="O19" s="28"/>
      <c r="P19" s="28"/>
      <c r="Q19" s="28"/>
      <c r="R19" s="28"/>
      <c r="S19" s="28"/>
    </row>
    <row r="20" spans="11:19" x14ac:dyDescent="0.2">
      <c r="K20" s="28"/>
      <c r="M20" s="28"/>
      <c r="N20" s="28"/>
      <c r="O20" s="28"/>
      <c r="P20" s="28"/>
      <c r="Q20" s="28"/>
      <c r="R20" s="28"/>
      <c r="S20" s="28"/>
    </row>
    <row r="21" spans="11:19" x14ac:dyDescent="0.2">
      <c r="K21" s="28"/>
      <c r="M21" s="28"/>
      <c r="N21" s="28"/>
      <c r="O21" s="28"/>
      <c r="P21" s="28"/>
      <c r="Q21" s="28"/>
      <c r="R21" s="28"/>
      <c r="S21" s="28"/>
    </row>
    <row r="22" spans="11:19" x14ac:dyDescent="0.2">
      <c r="K22" s="28"/>
      <c r="M22" s="28"/>
      <c r="N22" s="28"/>
      <c r="O22" s="28"/>
      <c r="P22" s="28"/>
      <c r="Q22" s="28"/>
      <c r="R22" s="28"/>
      <c r="S22" s="28"/>
    </row>
    <row r="23" spans="11:19" x14ac:dyDescent="0.2">
      <c r="K23" s="28"/>
      <c r="M23" s="28"/>
      <c r="N23" s="28"/>
      <c r="O23" s="28"/>
      <c r="P23" s="28"/>
      <c r="Q23" s="28"/>
      <c r="R23" s="28"/>
      <c r="S23" s="28"/>
    </row>
    <row r="24" spans="11:19" x14ac:dyDescent="0.2">
      <c r="K24" s="28"/>
      <c r="M24" s="28"/>
      <c r="N24" s="28"/>
      <c r="O24" s="28"/>
      <c r="P24" s="28"/>
      <c r="Q24" s="28"/>
      <c r="R24" s="28"/>
      <c r="S24" s="28"/>
    </row>
    <row r="25" spans="11:19" x14ac:dyDescent="0.2">
      <c r="K25" s="28"/>
      <c r="M25" s="28"/>
      <c r="N25" s="28"/>
      <c r="O25" s="28"/>
      <c r="P25" s="28"/>
      <c r="Q25" s="28"/>
      <c r="R25" s="28"/>
      <c r="S25" s="28"/>
    </row>
    <row r="26" spans="11:19" x14ac:dyDescent="0.2">
      <c r="K26" s="28"/>
      <c r="M26" s="28"/>
      <c r="N26" s="28"/>
      <c r="O26" s="28"/>
      <c r="P26" s="28"/>
      <c r="Q26" s="28"/>
      <c r="R26" s="28"/>
      <c r="S26" s="28"/>
    </row>
    <row r="27" spans="11:19" x14ac:dyDescent="0.2">
      <c r="K27" s="28"/>
      <c r="M27" s="28"/>
      <c r="N27" s="28"/>
      <c r="O27" s="28"/>
      <c r="P27" s="28"/>
      <c r="Q27" s="28"/>
      <c r="R27" s="28"/>
      <c r="S27" s="28"/>
    </row>
    <row r="28" spans="11:19" x14ac:dyDescent="0.2">
      <c r="K28" s="28"/>
      <c r="M28" s="28"/>
      <c r="N28" s="28"/>
      <c r="O28" s="28"/>
      <c r="P28" s="28"/>
      <c r="Q28" s="28"/>
      <c r="R28" s="28"/>
      <c r="S28" s="28"/>
    </row>
    <row r="29" spans="11:19" x14ac:dyDescent="0.2">
      <c r="K29" s="28"/>
      <c r="M29" s="28"/>
      <c r="N29" s="28"/>
      <c r="O29" s="28"/>
      <c r="P29" s="28"/>
      <c r="Q29" s="28"/>
      <c r="R29" s="28"/>
      <c r="S29" s="28"/>
    </row>
    <row r="30" spans="11:19" x14ac:dyDescent="0.2">
      <c r="K30" s="28"/>
      <c r="M30" s="28"/>
      <c r="N30" s="28"/>
      <c r="O30" s="28"/>
      <c r="P30" s="28"/>
      <c r="Q30" s="28"/>
      <c r="R30" s="28"/>
      <c r="S30" s="28"/>
    </row>
    <row r="31" spans="11:19" x14ac:dyDescent="0.2">
      <c r="K31" s="28"/>
      <c r="M31" s="28"/>
      <c r="N31" s="28"/>
      <c r="O31" s="28"/>
      <c r="P31" s="28"/>
      <c r="Q31" s="28"/>
      <c r="R31" s="28"/>
      <c r="S31" s="28"/>
    </row>
    <row r="32" spans="11:19" x14ac:dyDescent="0.2">
      <c r="K32" s="28"/>
      <c r="M32" s="28"/>
      <c r="N32" s="28"/>
      <c r="O32" s="28"/>
      <c r="P32" s="28"/>
      <c r="Q32" s="28"/>
      <c r="R32" s="28"/>
      <c r="S32" s="28"/>
    </row>
    <row r="33" spans="11:19" x14ac:dyDescent="0.2">
      <c r="K33" s="28"/>
      <c r="M33" s="28"/>
      <c r="N33" s="28"/>
      <c r="O33" s="28"/>
      <c r="P33" s="28"/>
      <c r="Q33" s="28"/>
      <c r="R33" s="28"/>
      <c r="S33" s="28"/>
    </row>
    <row r="34" spans="11:19" x14ac:dyDescent="0.2">
      <c r="K34" s="28"/>
      <c r="M34" s="28"/>
      <c r="N34" s="28"/>
      <c r="O34" s="28"/>
      <c r="P34" s="28"/>
      <c r="Q34" s="28"/>
      <c r="R34" s="28"/>
      <c r="S34" s="28"/>
    </row>
    <row r="35" spans="11:19" x14ac:dyDescent="0.2">
      <c r="K35" s="28"/>
      <c r="M35" s="28"/>
      <c r="N35" s="28"/>
      <c r="O35" s="28"/>
      <c r="P35" s="28"/>
      <c r="Q35" s="28"/>
      <c r="R35" s="28"/>
      <c r="S35" s="28"/>
    </row>
    <row r="36" spans="11:19" x14ac:dyDescent="0.2">
      <c r="K36" s="28"/>
      <c r="M36" s="28"/>
      <c r="N36" s="28"/>
      <c r="O36" s="28"/>
      <c r="P36" s="28"/>
      <c r="Q36" s="28"/>
      <c r="R36" s="28"/>
      <c r="S36" s="28"/>
    </row>
    <row r="37" spans="11:19" x14ac:dyDescent="0.2">
      <c r="K37" s="28"/>
      <c r="M37" s="28"/>
      <c r="N37" s="28"/>
      <c r="O37" s="28"/>
      <c r="P37" s="28"/>
      <c r="Q37" s="28"/>
      <c r="R37" s="28"/>
      <c r="S37" s="28"/>
    </row>
    <row r="38" spans="11:19" x14ac:dyDescent="0.2">
      <c r="K38" s="28"/>
      <c r="M38" s="28"/>
      <c r="N38" s="28"/>
      <c r="O38" s="28"/>
      <c r="P38" s="28"/>
      <c r="Q38" s="28"/>
      <c r="R38" s="28"/>
      <c r="S38" s="28"/>
    </row>
    <row r="39" spans="11:19" x14ac:dyDescent="0.2">
      <c r="K39" s="28"/>
      <c r="M39" s="28"/>
      <c r="N39" s="28"/>
      <c r="O39" s="28"/>
      <c r="P39" s="28"/>
      <c r="Q39" s="28"/>
      <c r="R39" s="28"/>
      <c r="S39" s="28"/>
    </row>
    <row r="40" spans="11:19" x14ac:dyDescent="0.2">
      <c r="K40" s="28"/>
      <c r="M40" s="28"/>
      <c r="N40" s="28"/>
      <c r="O40" s="28"/>
      <c r="P40" s="28"/>
      <c r="Q40" s="28"/>
      <c r="R40" s="28"/>
      <c r="S40" s="28"/>
    </row>
    <row r="41" spans="11:19" x14ac:dyDescent="0.2">
      <c r="K41" s="28"/>
      <c r="M41" s="28"/>
      <c r="N41" s="28"/>
      <c r="O41" s="28"/>
      <c r="P41" s="28"/>
      <c r="Q41" s="28"/>
      <c r="R41" s="28"/>
      <c r="S41" s="28"/>
    </row>
    <row r="42" spans="11:19" x14ac:dyDescent="0.2">
      <c r="K42" s="28"/>
      <c r="M42" s="28"/>
      <c r="N42" s="28"/>
      <c r="O42" s="28"/>
      <c r="P42" s="28"/>
      <c r="Q42" s="28"/>
      <c r="R42" s="28"/>
      <c r="S42" s="28"/>
    </row>
    <row r="43" spans="11:19" x14ac:dyDescent="0.2">
      <c r="K43" s="28"/>
      <c r="M43" s="28"/>
      <c r="N43" s="28"/>
      <c r="O43" s="28"/>
      <c r="P43" s="28"/>
      <c r="Q43" s="28"/>
      <c r="R43" s="28"/>
      <c r="S43" s="28"/>
    </row>
    <row r="44" spans="11:19" x14ac:dyDescent="0.2">
      <c r="K44" s="28"/>
      <c r="M44" s="28"/>
      <c r="N44" s="28"/>
      <c r="O44" s="28"/>
      <c r="P44" s="28"/>
      <c r="Q44" s="28"/>
      <c r="R44" s="28"/>
      <c r="S44" s="28"/>
    </row>
  </sheetData>
  <autoFilter ref="A1:R1" xr:uid="{52AC0343-7A1E-4FFC-B56C-76A4A8C4F60B}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6EE5-CB36-4030-931F-2950210FCEA8}">
  <sheetPr codeName="Tabelle6"/>
  <dimension ref="A1:T61"/>
  <sheetViews>
    <sheetView showGridLines="0" showZeros="0" tabSelected="1" zoomScaleNormal="100" workbookViewId="0">
      <selection activeCell="K12" sqref="K12:S12"/>
    </sheetView>
  </sheetViews>
  <sheetFormatPr baseColWidth="10" defaultColWidth="9" defaultRowHeight="15" x14ac:dyDescent="0.3"/>
  <cols>
    <col min="1" max="1" width="18.125" style="1" customWidth="1"/>
    <col min="2" max="2" width="30.75" style="1" customWidth="1"/>
    <col min="3" max="3" width="24.5" style="1" customWidth="1"/>
    <col min="4" max="4" width="18.25" style="1" customWidth="1"/>
    <col min="5" max="16384" width="9" style="1"/>
  </cols>
  <sheetData>
    <row r="1" spans="1:20" ht="58.5" customHeight="1" x14ac:dyDescent="0.3">
      <c r="A1" s="48"/>
      <c r="B1" s="48"/>
      <c r="C1" s="49"/>
      <c r="D1" s="49"/>
    </row>
    <row r="2" spans="1:20" ht="13.5" customHeight="1" x14ac:dyDescent="0.3">
      <c r="A2" s="7"/>
      <c r="B2" s="7"/>
      <c r="C2" s="7"/>
      <c r="D2" s="7"/>
    </row>
    <row r="3" spans="1:20" ht="15" customHeight="1" x14ac:dyDescent="0.3">
      <c r="A3" s="9"/>
      <c r="B3" s="9"/>
      <c r="C3" s="9"/>
      <c r="E3" s="5"/>
      <c r="F3" s="53" t="s">
        <v>67</v>
      </c>
      <c r="G3" s="53"/>
      <c r="H3" s="53"/>
      <c r="I3" s="5"/>
      <c r="J3" s="29" t="s">
        <v>43</v>
      </c>
      <c r="K3" s="29" t="str">
        <f>CONCATENATE("Rechnung"," ",D25)</f>
        <v>Rechnung 117-2023-1</v>
      </c>
      <c r="L3" s="29"/>
      <c r="M3" s="30"/>
      <c r="N3" s="30"/>
      <c r="O3" s="30"/>
      <c r="P3" s="30"/>
      <c r="Q3" s="30"/>
      <c r="R3" s="30"/>
      <c r="S3" s="30"/>
    </row>
    <row r="4" spans="1:20" s="5" customFormat="1" ht="18" customHeight="1" x14ac:dyDescent="0.2">
      <c r="A4" s="10" t="s">
        <v>47</v>
      </c>
      <c r="B4" s="8"/>
      <c r="C4" s="15"/>
      <c r="D4" s="17"/>
      <c r="F4" s="5" t="s">
        <v>68</v>
      </c>
      <c r="G4" s="52" t="str">
        <f>VLOOKUP(B24,' Mitarbeiter'!A2:T16,10,0)</f>
        <v>Hans</v>
      </c>
      <c r="H4" s="52"/>
      <c r="J4" s="29" t="s">
        <v>44</v>
      </c>
      <c r="K4" s="29" t="s">
        <v>52</v>
      </c>
      <c r="L4" s="29"/>
      <c r="M4" s="29"/>
      <c r="N4" s="29"/>
      <c r="O4" s="29"/>
      <c r="P4" s="29"/>
      <c r="Q4" s="29"/>
      <c r="R4" s="29"/>
      <c r="S4" s="29"/>
    </row>
    <row r="5" spans="1:20" s="2" customFormat="1" ht="15.75" x14ac:dyDescent="0.3">
      <c r="A5" s="51" t="str">
        <f>VLOOKUP(B24,Kunden!A2:U3,5,0)</f>
        <v>Testkunde</v>
      </c>
      <c r="B5" s="51"/>
      <c r="C5" s="16"/>
      <c r="D5" s="17"/>
      <c r="F5" s="2" t="s">
        <v>69</v>
      </c>
      <c r="G5" s="55">
        <f>VLOOKUP(B24,' Mitarbeiter'!A2:T16,11,0)</f>
        <v>50</v>
      </c>
      <c r="H5" s="55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0" s="2" customFormat="1" ht="15.75" x14ac:dyDescent="0.3">
      <c r="A6" s="51" t="str">
        <f>VLOOKUP(B24,Kunden!A2:U3,7,0)&amp;(" ")&amp;(VLOOKUP(B24,Kunden!A2:U3,8,0))</f>
        <v>André Testkunde</v>
      </c>
      <c r="B6" s="51"/>
      <c r="C6" s="16"/>
      <c r="D6" s="17"/>
      <c r="F6" s="2" t="s">
        <v>70</v>
      </c>
      <c r="G6" s="55">
        <f>VLOOKUP(B24,' Mitarbeiter'!A2:T16,13,0)</f>
        <v>90</v>
      </c>
      <c r="H6" s="55"/>
    </row>
    <row r="7" spans="1:20" s="2" customFormat="1" ht="15.75" x14ac:dyDescent="0.3">
      <c r="A7" s="51" t="str">
        <f>VLOOKUP($B$24,Kunden!A2:U3,9,0)</f>
        <v xml:space="preserve">ABC Straße </v>
      </c>
      <c r="B7" s="51"/>
      <c r="C7" s="16"/>
      <c r="D7" s="17"/>
      <c r="J7" s="2" t="s">
        <v>53</v>
      </c>
      <c r="K7" s="71" t="s">
        <v>98</v>
      </c>
      <c r="T7" s="61"/>
    </row>
    <row r="8" spans="1:20" s="6" customFormat="1" ht="14.25" customHeight="1" x14ac:dyDescent="0.3">
      <c r="A8" s="50"/>
      <c r="B8" s="50"/>
      <c r="C8" s="18"/>
      <c r="D8" s="17"/>
      <c r="F8" s="2" t="s">
        <v>73</v>
      </c>
      <c r="G8" s="60">
        <f>VLOOKUP(B24,' Mitarbeiter'!A2:T16,12,0)</f>
        <v>1</v>
      </c>
      <c r="H8" s="46" t="s">
        <v>72</v>
      </c>
      <c r="J8" s="2" t="s">
        <v>54</v>
      </c>
      <c r="K8" s="2" t="str">
        <f>K3</f>
        <v>Rechnung 117-2023-1</v>
      </c>
      <c r="L8" s="2"/>
      <c r="M8" s="2"/>
      <c r="N8" s="2"/>
      <c r="O8" s="2"/>
      <c r="P8" s="2"/>
      <c r="Q8" s="2"/>
      <c r="R8" s="2"/>
      <c r="S8" s="2"/>
      <c r="T8" s="62"/>
    </row>
    <row r="9" spans="1:20" s="2" customFormat="1" ht="15.75" x14ac:dyDescent="0.3">
      <c r="A9" s="35" t="str">
        <f>VLOOKUP(B24,Kunden!A2:U3,10,0)</f>
        <v>40629 Düsseldorf</v>
      </c>
      <c r="B9" s="11"/>
      <c r="C9" s="16"/>
      <c r="D9" s="19"/>
      <c r="J9" s="2" t="s">
        <v>55</v>
      </c>
      <c r="K9" s="2" t="str">
        <f>A18</f>
        <v>Sehr geehrter Herr Testkunde,</v>
      </c>
      <c r="T9" s="61"/>
    </row>
    <row r="10" spans="1:20" s="2" customFormat="1" ht="14.1" customHeight="1" x14ac:dyDescent="0.3">
      <c r="B10" s="11"/>
      <c r="C10" s="16"/>
      <c r="D10" s="17"/>
      <c r="F10" s="53" t="s">
        <v>75</v>
      </c>
      <c r="G10" s="53"/>
      <c r="H10" s="53"/>
      <c r="J10" s="2" t="s">
        <v>56</v>
      </c>
      <c r="K10" s="46">
        <f>D35</f>
        <v>166.6</v>
      </c>
      <c r="T10" s="61"/>
    </row>
    <row r="11" spans="1:20" s="2" customFormat="1" ht="14.1" customHeight="1" x14ac:dyDescent="0.3">
      <c r="B11" s="11"/>
      <c r="C11" s="16"/>
      <c r="D11" s="17"/>
      <c r="F11" s="54" t="str">
        <f>VLOOKUP(B24,Kunden!A2:U3,15,0)</f>
        <v>Standard</v>
      </c>
      <c r="G11" s="54"/>
      <c r="H11" s="54"/>
    </row>
    <row r="12" spans="1:20" s="2" customFormat="1" ht="14.1" customHeight="1" x14ac:dyDescent="0.3">
      <c r="B12" s="11"/>
      <c r="C12" s="16"/>
      <c r="D12" s="17"/>
      <c r="G12" s="68"/>
      <c r="H12" s="68"/>
      <c r="J12" s="2" t="s">
        <v>57</v>
      </c>
      <c r="K12" s="65" t="s">
        <v>74</v>
      </c>
      <c r="L12" s="65"/>
      <c r="M12" s="65"/>
      <c r="N12" s="65"/>
      <c r="O12" s="65"/>
      <c r="P12" s="65"/>
      <c r="Q12" s="65"/>
      <c r="R12" s="65"/>
      <c r="S12" s="65"/>
    </row>
    <row r="13" spans="1:20" s="2" customFormat="1" ht="14.1" customHeight="1" x14ac:dyDescent="0.3">
      <c r="B13" s="11"/>
      <c r="C13" s="16"/>
      <c r="D13" s="17"/>
      <c r="F13" s="66" t="str">
        <f>VLOOKUP(F11,Leistungen!A1:B2,2,0)</f>
        <v xml:space="preserve">Wöchentlich:
Reinigung des Treppenhauses
Ränder &amp;  Geländer
Hauseingangstüre
Briefkästen und Klingelanlage
Hauseingansmatte (abkehren)
Spinnwebenentfernung
Monatlich:
Reinigung der Kellergänge
</v>
      </c>
      <c r="G13" s="66"/>
      <c r="H13" s="66"/>
    </row>
    <row r="14" spans="1:20" s="2" customFormat="1" ht="15.75" x14ac:dyDescent="0.3">
      <c r="C14" s="12"/>
      <c r="D14" s="12"/>
      <c r="F14" s="66"/>
      <c r="G14" s="66"/>
      <c r="H14" s="66"/>
      <c r="K14" s="2" t="s">
        <v>99</v>
      </c>
    </row>
    <row r="15" spans="1:20" s="2" customFormat="1" ht="20.25" x14ac:dyDescent="0.3">
      <c r="A15" s="47" t="s">
        <v>33</v>
      </c>
      <c r="B15" s="47"/>
      <c r="C15" s="13"/>
      <c r="D15" s="16"/>
      <c r="F15" s="66"/>
      <c r="G15" s="66"/>
      <c r="H15" s="66"/>
      <c r="K15" s="2" t="str">
        <f>CONCATENATE(B40,":"," ", B41)</f>
        <v>IBAN: 1</v>
      </c>
    </row>
    <row r="16" spans="1:20" s="2" customFormat="1" ht="20.25" x14ac:dyDescent="0.3">
      <c r="A16" s="34"/>
      <c r="B16" s="34"/>
      <c r="C16" s="13"/>
      <c r="D16" s="16"/>
      <c r="F16" s="66"/>
      <c r="G16" s="66"/>
      <c r="H16" s="66"/>
      <c r="K16" s="2" t="str">
        <f>CONCATENATE(C40,":"," ", C41)</f>
        <v>BIC: DE</v>
      </c>
      <c r="L16" s="6"/>
      <c r="M16" s="6"/>
      <c r="N16" s="16"/>
      <c r="O16" s="16"/>
      <c r="P16" s="16"/>
      <c r="Q16" s="16"/>
      <c r="R16" s="6"/>
      <c r="S16" s="6"/>
    </row>
    <row r="17" spans="1:19" s="2" customFormat="1" ht="15.75" x14ac:dyDescent="0.3">
      <c r="A17" s="13"/>
      <c r="B17" s="14"/>
      <c r="C17" s="12"/>
      <c r="D17" s="12"/>
      <c r="F17" s="66"/>
      <c r="G17" s="66"/>
      <c r="H17" s="66"/>
      <c r="J17" s="6"/>
      <c r="K17" s="6"/>
      <c r="L17" s="6"/>
      <c r="M17" s="6"/>
      <c r="N17" s="16"/>
      <c r="O17" s="16"/>
      <c r="P17" s="16"/>
      <c r="Q17" s="16"/>
      <c r="R17" s="6"/>
      <c r="S17" s="6"/>
    </row>
    <row r="18" spans="1:19" s="2" customFormat="1" ht="15.75" x14ac:dyDescent="0.3">
      <c r="A18" s="20" t="str">
        <f>VLOOKUP($B$24,Kunden!A2:U3,21)</f>
        <v>Sehr geehrter Herr Testkunde,</v>
      </c>
      <c r="B18" s="14"/>
      <c r="C18" s="12"/>
      <c r="D18" s="21">
        <f>VLOOKUP($B$24,Kunden!A2:U3,4,0)</f>
        <v>44927</v>
      </c>
      <c r="F18" s="66"/>
      <c r="G18" s="66"/>
      <c r="H18" s="66"/>
      <c r="J18" s="6"/>
      <c r="K18" s="6" t="s">
        <v>59</v>
      </c>
      <c r="L18" s="6"/>
      <c r="M18" s="6"/>
      <c r="N18" s="16"/>
      <c r="O18" s="16"/>
      <c r="P18" s="16"/>
      <c r="Q18" s="16"/>
      <c r="R18" s="6"/>
      <c r="S18" s="6"/>
    </row>
    <row r="19" spans="1:19" s="2" customFormat="1" ht="14.1" customHeight="1" x14ac:dyDescent="0.3">
      <c r="A19" s="20"/>
      <c r="B19" s="14"/>
      <c r="C19" s="3"/>
      <c r="D19" s="4"/>
      <c r="F19" s="66"/>
      <c r="G19" s="66"/>
      <c r="H19" s="66"/>
      <c r="J19" s="6"/>
      <c r="K19" s="6" t="s">
        <v>60</v>
      </c>
      <c r="L19" s="6"/>
      <c r="M19" s="6"/>
      <c r="N19" s="16"/>
      <c r="O19" s="16"/>
      <c r="P19" s="16"/>
      <c r="Q19" s="16"/>
      <c r="R19" s="6"/>
      <c r="S19" s="6"/>
    </row>
    <row r="20" spans="1:19" s="2" customFormat="1" ht="14.1" customHeight="1" x14ac:dyDescent="0.3">
      <c r="A20" s="20" t="s">
        <v>7</v>
      </c>
      <c r="B20" s="14"/>
      <c r="C20" s="3"/>
      <c r="D20" s="3"/>
      <c r="F20" s="66"/>
      <c r="G20" s="66"/>
      <c r="H20" s="66"/>
      <c r="J20" s="6"/>
      <c r="K20" s="6"/>
      <c r="L20" s="6"/>
      <c r="M20" s="6"/>
      <c r="N20" s="16"/>
      <c r="O20" s="16"/>
      <c r="P20" s="16"/>
      <c r="Q20" s="16"/>
      <c r="R20" s="6"/>
      <c r="S20" s="6"/>
    </row>
    <row r="21" spans="1:19" s="2" customFormat="1" ht="14.1" customHeight="1" x14ac:dyDescent="0.3">
      <c r="A21" s="20" t="s">
        <v>48</v>
      </c>
      <c r="B21" s="14"/>
      <c r="C21" s="3"/>
      <c r="D21" s="3"/>
      <c r="F21" s="66"/>
      <c r="G21" s="66"/>
      <c r="H21" s="66"/>
      <c r="J21" s="6" t="s">
        <v>58</v>
      </c>
      <c r="K21" s="67" t="str">
        <f>K9&amp;CHAR(10)&amp;CHAR(10)&amp;K12&amp;CHAR(10)&amp;CHAR(10)&amp;K14&amp;CHAR(10)&amp;CHAR(10)&amp;K15&amp;CHAR(10)&amp;CHAR(10)&amp;K16&amp;CHAR(10)&amp;CHAR(10)&amp;K18&amp;CHAR(10)</f>
        <v xml:space="preserve">Sehr geehrter Herr Testkunde,
Wir hoffen, dass Sie mit der Leisutng zufrieden sind und übersenden Ihnen anbei die beigefügte Rechnung.
Bitte begleichen Sie den aufgeführten Betrag auf folgendes Konto:
Kontoinhaber: Test
IBAN: 1
BIC: DE
Bei etwaigen Fragen oder Problemen im Zusammenhang mit unserer Leistung, können Sie uns jederzeit kontaktieren.
</v>
      </c>
      <c r="L21" s="67"/>
      <c r="M21" s="67"/>
      <c r="N21" s="67"/>
      <c r="O21" s="67"/>
      <c r="P21" s="67"/>
      <c r="Q21" s="67"/>
      <c r="R21" s="67"/>
      <c r="S21" s="39"/>
    </row>
    <row r="22" spans="1:19" s="2" customFormat="1" ht="14.1" customHeight="1" x14ac:dyDescent="0.3">
      <c r="A22" s="20"/>
      <c r="B22" s="14"/>
      <c r="C22" s="3"/>
      <c r="D22" s="3"/>
      <c r="F22" s="66"/>
      <c r="G22" s="66"/>
      <c r="H22" s="66"/>
      <c r="K22" s="67"/>
      <c r="L22" s="67"/>
      <c r="M22" s="67"/>
      <c r="N22" s="67"/>
      <c r="O22" s="67"/>
      <c r="P22" s="67"/>
      <c r="Q22" s="67"/>
      <c r="R22" s="67"/>
      <c r="S22" s="39"/>
    </row>
    <row r="23" spans="1:19" s="2" customFormat="1" ht="14.1" customHeight="1" x14ac:dyDescent="0.3">
      <c r="A23" s="20"/>
      <c r="B23" s="14"/>
      <c r="C23" s="3"/>
      <c r="D23" s="3"/>
      <c r="F23" s="66"/>
      <c r="G23" s="66"/>
      <c r="H23" s="66"/>
      <c r="J23" s="6"/>
      <c r="K23" s="67"/>
      <c r="L23" s="67"/>
      <c r="M23" s="67"/>
      <c r="N23" s="67"/>
      <c r="O23" s="67"/>
      <c r="P23" s="67"/>
      <c r="Q23" s="67"/>
      <c r="R23" s="67"/>
      <c r="S23" s="39"/>
    </row>
    <row r="24" spans="1:19" s="2" customFormat="1" ht="15.75" customHeight="1" x14ac:dyDescent="0.3">
      <c r="A24" s="32" t="s">
        <v>5</v>
      </c>
      <c r="B24" s="43">
        <v>117</v>
      </c>
      <c r="C24" s="32" t="s">
        <v>6</v>
      </c>
      <c r="D24" s="32" t="s">
        <v>46</v>
      </c>
      <c r="F24" s="66"/>
      <c r="G24" s="66"/>
      <c r="H24" s="66"/>
      <c r="J24" s="6"/>
      <c r="K24" s="67"/>
      <c r="L24" s="67"/>
      <c r="M24" s="67"/>
      <c r="N24" s="67"/>
      <c r="O24" s="67"/>
      <c r="P24" s="67"/>
      <c r="Q24" s="67"/>
      <c r="R24" s="67"/>
      <c r="S24" s="39"/>
    </row>
    <row r="25" spans="1:19" s="6" customFormat="1" ht="14.25" customHeight="1" x14ac:dyDescent="0.2">
      <c r="A25" s="27" t="str">
        <f>VLOOKUP($B$24,Kunden!A2:U3,12)</f>
        <v>Düsseldorf</v>
      </c>
      <c r="B25" s="27" t="str">
        <f>VLOOKUP($B$24,Kunden!A2:U3,11,0)</f>
        <v>Testobjekt</v>
      </c>
      <c r="C25" s="27" t="str">
        <f>TEXT(D18,"MMMM")&amp;" " &amp;YEAR(D18)</f>
        <v>Januar 2023</v>
      </c>
      <c r="D25" s="27" t="str">
        <f>VLOOKUP($B$24,Kunden!A2:U3,2,0)</f>
        <v>117-2023-1</v>
      </c>
      <c r="F25" s="66"/>
      <c r="G25" s="66"/>
      <c r="H25" s="66"/>
      <c r="K25" s="67"/>
      <c r="L25" s="67"/>
      <c r="M25" s="67"/>
      <c r="N25" s="67"/>
      <c r="O25" s="67"/>
      <c r="P25" s="67"/>
      <c r="Q25" s="67"/>
      <c r="R25" s="67"/>
      <c r="S25" s="39"/>
    </row>
    <row r="26" spans="1:19" s="6" customFormat="1" ht="14.25" customHeight="1" x14ac:dyDescent="0.2">
      <c r="A26" s="27"/>
      <c r="B26" s="27"/>
      <c r="C26" s="27"/>
      <c r="D26" s="27"/>
      <c r="F26" s="66"/>
      <c r="G26" s="66"/>
      <c r="H26" s="66"/>
      <c r="K26" s="67"/>
      <c r="L26" s="67"/>
      <c r="M26" s="67"/>
      <c r="N26" s="67"/>
      <c r="O26" s="67"/>
      <c r="P26" s="67"/>
      <c r="Q26" s="67"/>
      <c r="R26" s="67"/>
      <c r="S26" s="39"/>
    </row>
    <row r="27" spans="1:19" s="6" customFormat="1" ht="14.25" customHeight="1" x14ac:dyDescent="0.2">
      <c r="A27" s="32" t="s">
        <v>0</v>
      </c>
      <c r="B27" s="32" t="s">
        <v>1</v>
      </c>
      <c r="C27" s="32" t="s">
        <v>2</v>
      </c>
      <c r="D27" s="32" t="s">
        <v>4</v>
      </c>
      <c r="F27" s="66"/>
      <c r="G27" s="66"/>
      <c r="H27" s="66"/>
      <c r="K27" s="67"/>
      <c r="L27" s="67"/>
      <c r="M27" s="67"/>
      <c r="N27" s="67"/>
      <c r="O27" s="67"/>
      <c r="P27" s="67"/>
      <c r="Q27" s="67"/>
      <c r="R27" s="67"/>
      <c r="S27" s="27"/>
    </row>
    <row r="28" spans="1:19" s="6" customFormat="1" ht="14.25" customHeight="1" x14ac:dyDescent="0.2">
      <c r="A28" s="27">
        <v>1</v>
      </c>
      <c r="B28" s="35" t="str">
        <f>Kunden!$M$1</f>
        <v xml:space="preserve">Lohnanteil inkl. Fahrtkosten  </v>
      </c>
      <c r="C28" s="36">
        <f>VLOOKUP($B$24,Kunden!A2:U3,13,0)</f>
        <v>125</v>
      </c>
      <c r="D28" s="26">
        <f>C28</f>
        <v>125</v>
      </c>
      <c r="F28" s="66"/>
      <c r="G28" s="66"/>
      <c r="H28" s="66"/>
      <c r="J28" s="16"/>
      <c r="K28" s="67"/>
      <c r="L28" s="67"/>
      <c r="M28" s="67"/>
      <c r="N28" s="67"/>
      <c r="O28" s="67"/>
      <c r="P28" s="67"/>
      <c r="Q28" s="67"/>
      <c r="R28" s="67"/>
      <c r="S28" s="27"/>
    </row>
    <row r="29" spans="1:19" s="6" customFormat="1" ht="14.25" customHeight="1" x14ac:dyDescent="0.2">
      <c r="A29" s="27">
        <v>1</v>
      </c>
      <c r="B29" s="35" t="str">
        <f>Kunden!$N$1</f>
        <v xml:space="preserve">Materialanteil                           </v>
      </c>
      <c r="C29" s="36">
        <f>VLOOKUP($B$24,Kunden!A2:U3,14,0)</f>
        <v>15</v>
      </c>
      <c r="D29" s="26">
        <f>C29</f>
        <v>15</v>
      </c>
      <c r="F29" s="66"/>
      <c r="G29" s="66"/>
      <c r="H29" s="66"/>
      <c r="J29" s="16"/>
      <c r="K29" s="67"/>
      <c r="L29" s="67"/>
      <c r="M29" s="67"/>
      <c r="N29" s="67"/>
      <c r="O29" s="67"/>
      <c r="P29" s="67"/>
      <c r="Q29" s="67"/>
      <c r="R29" s="67"/>
      <c r="S29" s="27"/>
    </row>
    <row r="30" spans="1:19" s="6" customFormat="1" ht="14.25" customHeight="1" x14ac:dyDescent="0.2">
      <c r="A30" s="27"/>
      <c r="B30" s="35"/>
      <c r="C30" s="36"/>
      <c r="D30" s="26"/>
      <c r="F30" s="66"/>
      <c r="G30" s="66"/>
      <c r="H30" s="66"/>
      <c r="J30" s="16"/>
      <c r="K30" s="67"/>
      <c r="L30" s="67"/>
      <c r="M30" s="67"/>
      <c r="N30" s="67"/>
      <c r="O30" s="67"/>
      <c r="P30" s="67"/>
      <c r="Q30" s="67"/>
      <c r="R30" s="67"/>
      <c r="S30" s="27"/>
    </row>
    <row r="31" spans="1:19" s="6" customFormat="1" ht="15.75" customHeight="1" x14ac:dyDescent="0.2">
      <c r="A31" s="27"/>
      <c r="B31" s="35"/>
      <c r="C31" s="36"/>
      <c r="D31" s="26"/>
      <c r="F31" s="66"/>
      <c r="G31" s="66"/>
      <c r="H31" s="66"/>
      <c r="J31" s="16"/>
      <c r="K31" s="67"/>
      <c r="L31" s="67"/>
      <c r="M31" s="67"/>
      <c r="N31" s="67"/>
      <c r="O31" s="67"/>
      <c r="P31" s="67"/>
      <c r="Q31" s="67"/>
      <c r="R31" s="67"/>
      <c r="S31" s="27"/>
    </row>
    <row r="32" spans="1:19" s="6" customFormat="1" ht="15.75" customHeight="1" x14ac:dyDescent="0.3">
      <c r="A32" s="27"/>
      <c r="B32" s="35"/>
      <c r="C32" s="27" t="s">
        <v>3</v>
      </c>
      <c r="D32" s="38">
        <f>VLOOKUP($B$24,Kunden!A2:U3,16,0)</f>
        <v>140</v>
      </c>
      <c r="F32" s="66"/>
      <c r="G32" s="66"/>
      <c r="H32" s="66"/>
      <c r="J32" s="16"/>
      <c r="K32" s="67"/>
      <c r="L32" s="67"/>
      <c r="M32" s="67"/>
      <c r="N32" s="67"/>
      <c r="O32" s="67"/>
      <c r="P32" s="67"/>
      <c r="Q32" s="67"/>
      <c r="R32" s="67"/>
      <c r="S32" s="63"/>
    </row>
    <row r="33" spans="1:19" s="6" customFormat="1" ht="15.75" x14ac:dyDescent="0.3">
      <c r="A33" s="27"/>
      <c r="B33" s="41"/>
      <c r="C33" s="45" t="s">
        <v>51</v>
      </c>
      <c r="D33" s="38">
        <f>VLOOKUP($B$24,Kunden!A2:U3,17,0)</f>
        <v>26.6</v>
      </c>
      <c r="F33" s="64"/>
      <c r="G33" s="64"/>
      <c r="H33" s="64"/>
      <c r="J33" s="1"/>
      <c r="K33" s="67"/>
      <c r="L33" s="67"/>
      <c r="M33" s="67"/>
      <c r="N33" s="67"/>
      <c r="O33" s="67"/>
      <c r="P33" s="67"/>
      <c r="Q33" s="67"/>
      <c r="R33" s="67"/>
      <c r="S33" s="63"/>
    </row>
    <row r="34" spans="1:19" s="6" customFormat="1" ht="15.75" x14ac:dyDescent="0.3">
      <c r="A34" s="27"/>
      <c r="B34" s="27"/>
      <c r="D34" s="39"/>
      <c r="F34" s="64"/>
      <c r="G34" s="64"/>
      <c r="H34" s="64"/>
      <c r="J34" s="1"/>
      <c r="K34" s="67"/>
      <c r="L34" s="67"/>
      <c r="M34" s="67"/>
      <c r="N34" s="67"/>
      <c r="O34" s="67"/>
      <c r="P34" s="67"/>
      <c r="Q34" s="67"/>
      <c r="R34" s="67"/>
      <c r="S34" s="63"/>
    </row>
    <row r="35" spans="1:19" s="6" customFormat="1" ht="15.75" x14ac:dyDescent="0.3">
      <c r="A35" s="27"/>
      <c r="B35" s="27"/>
      <c r="C35" s="42" t="s">
        <v>15</v>
      </c>
      <c r="D35" s="40">
        <f>VLOOKUP($B$24,Kunden!A2:U3,18,0)</f>
        <v>166.6</v>
      </c>
      <c r="F35" s="64"/>
      <c r="G35" s="64"/>
      <c r="H35" s="64"/>
      <c r="J35" s="1"/>
      <c r="K35" s="39"/>
      <c r="L35" s="63"/>
      <c r="M35" s="63"/>
      <c r="N35" s="63"/>
      <c r="O35" s="63"/>
      <c r="P35" s="63"/>
      <c r="Q35" s="63"/>
      <c r="R35" s="63"/>
      <c r="S35" s="63"/>
    </row>
    <row r="36" spans="1:19" s="16" customFormat="1" ht="15.95" customHeight="1" x14ac:dyDescent="0.3">
      <c r="A36"/>
      <c r="B36" s="2"/>
      <c r="C36" s="2"/>
      <c r="D36" s="2"/>
      <c r="F36" s="64"/>
      <c r="G36" s="64"/>
      <c r="H36" s="64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16" customFormat="1" ht="15.95" customHeight="1" x14ac:dyDescent="0.3">
      <c r="A37" s="32" t="s">
        <v>16</v>
      </c>
      <c r="B37" s="32" t="s">
        <v>15</v>
      </c>
      <c r="C37" s="32" t="s">
        <v>35</v>
      </c>
      <c r="D37" s="32" t="s">
        <v>12</v>
      </c>
      <c r="F37" s="64"/>
      <c r="G37" s="64"/>
      <c r="H37" s="64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16" customFormat="1" ht="15.95" customHeight="1" x14ac:dyDescent="0.3">
      <c r="A38" s="27">
        <f>VLOOKUP($B$24,Kunden!A2:U3,3,0)</f>
        <v>3034</v>
      </c>
      <c r="B38" s="26">
        <f>D35</f>
        <v>166.6</v>
      </c>
      <c r="C38" s="33" t="str">
        <f>Kunden!T2</f>
        <v>sofort</v>
      </c>
      <c r="D38" s="1" t="s">
        <v>13</v>
      </c>
      <c r="F38" s="64"/>
      <c r="G38" s="64"/>
      <c r="H38" s="64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16" customFormat="1" ht="15.75" x14ac:dyDescent="0.3">
      <c r="A39"/>
      <c r="B39" s="2"/>
      <c r="C39" s="2"/>
      <c r="D39" s="2"/>
      <c r="F39" s="64"/>
      <c r="G39" s="64"/>
      <c r="H39" s="64"/>
      <c r="J39" s="1"/>
      <c r="K39" s="1"/>
      <c r="L39" s="1"/>
      <c r="M39" s="1"/>
      <c r="N39" s="2"/>
      <c r="O39" s="2"/>
      <c r="P39" s="2"/>
      <c r="Q39" s="2"/>
      <c r="R39" s="1"/>
      <c r="S39" s="1"/>
    </row>
    <row r="40" spans="1:19" s="16" customFormat="1" ht="15.75" x14ac:dyDescent="0.3">
      <c r="A40" s="32" t="s">
        <v>9</v>
      </c>
      <c r="B40" s="32" t="s">
        <v>8</v>
      </c>
      <c r="C40" s="32" t="s">
        <v>10</v>
      </c>
      <c r="D40" s="32" t="s">
        <v>11</v>
      </c>
      <c r="F40" s="64"/>
      <c r="G40" s="64"/>
      <c r="H40" s="64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x14ac:dyDescent="0.3">
      <c r="A41" s="16" t="s">
        <v>47</v>
      </c>
      <c r="B41" s="16">
        <v>1</v>
      </c>
      <c r="C41" s="16" t="s">
        <v>100</v>
      </c>
      <c r="D41" s="16" t="s">
        <v>100</v>
      </c>
      <c r="F41" s="64"/>
      <c r="G41" s="64"/>
      <c r="H41" s="64"/>
      <c r="K41" s="2"/>
      <c r="L41" s="2"/>
      <c r="M41" s="2"/>
      <c r="R41" s="2"/>
      <c r="S41" s="2"/>
    </row>
    <row r="42" spans="1:19" ht="15" customHeight="1" x14ac:dyDescent="0.3">
      <c r="F42" s="64"/>
      <c r="G42" s="64"/>
      <c r="H42" s="64"/>
      <c r="J42" s="2"/>
    </row>
    <row r="43" spans="1:19" ht="15" customHeight="1" x14ac:dyDescent="0.3">
      <c r="A43" s="20" t="s">
        <v>14</v>
      </c>
      <c r="B43" s="14"/>
      <c r="C43" s="3"/>
      <c r="D43" s="3"/>
      <c r="F43" s="64"/>
      <c r="G43" s="64"/>
      <c r="H43" s="64"/>
    </row>
    <row r="44" spans="1:19" ht="15.95" customHeight="1" x14ac:dyDescent="0.3">
      <c r="F44" s="64"/>
      <c r="G44" s="64"/>
      <c r="H44" s="64"/>
    </row>
    <row r="45" spans="1:19" ht="15.95" customHeight="1" x14ac:dyDescent="0.3">
      <c r="F45" s="64"/>
      <c r="G45" s="64"/>
      <c r="H45" s="64"/>
    </row>
    <row r="46" spans="1:19" ht="15.95" customHeight="1" x14ac:dyDescent="0.3">
      <c r="F46" s="64"/>
      <c r="G46" s="64"/>
      <c r="H46" s="64"/>
    </row>
    <row r="47" spans="1:19" ht="15.95" customHeight="1" x14ac:dyDescent="0.3"/>
    <row r="48" spans="1:19" ht="15.95" customHeight="1" x14ac:dyDescent="0.3"/>
    <row r="49" spans="1:19" ht="15.95" customHeight="1" x14ac:dyDescent="0.3"/>
    <row r="50" spans="1:19" s="2" customFormat="1" ht="14.1" customHeight="1" x14ac:dyDescent="0.3">
      <c r="A50" s="1"/>
      <c r="B50" s="1"/>
      <c r="C50" s="1"/>
      <c r="D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95" customHeight="1" x14ac:dyDescent="0.3"/>
    <row r="52" spans="1:19" ht="15.95" customHeight="1" x14ac:dyDescent="0.3"/>
    <row r="53" spans="1:19" ht="15.95" customHeight="1" x14ac:dyDescent="0.3"/>
    <row r="54" spans="1:19" ht="15.95" customHeight="1" x14ac:dyDescent="0.3"/>
    <row r="55" spans="1:19" ht="15.95" customHeight="1" x14ac:dyDescent="0.3"/>
    <row r="61" spans="1:19" ht="15.95" customHeight="1" x14ac:dyDescent="0.3"/>
  </sheetData>
  <mergeCells count="16">
    <mergeCell ref="K12:S12"/>
    <mergeCell ref="K21:R34"/>
    <mergeCell ref="F10:H10"/>
    <mergeCell ref="F11:H11"/>
    <mergeCell ref="F13:H32"/>
    <mergeCell ref="F3:H3"/>
    <mergeCell ref="G4:H4"/>
    <mergeCell ref="G5:H5"/>
    <mergeCell ref="G6:H6"/>
    <mergeCell ref="A15:B15"/>
    <mergeCell ref="A1:B1"/>
    <mergeCell ref="C1:D1"/>
    <mergeCell ref="A5:B5"/>
    <mergeCell ref="A6:B6"/>
    <mergeCell ref="A7:B7"/>
    <mergeCell ref="A8:B8"/>
  </mergeCells>
  <hyperlinks>
    <hyperlink ref="K7" r:id="rId1" xr:uid="{C23D4C2F-0F99-4A1D-9C78-E000F34BB4BC}"/>
  </hyperlinks>
  <printOptions horizontalCentered="1"/>
  <pageMargins left="0.7" right="0.7" top="0.75" bottom="0.75" header="0.3" footer="0.3"/>
  <pageSetup scale="8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Button 1">
              <controlPr defaultSize="0" print="0" autoFill="0" autoPict="0" macro="[0]!Ein_PDF_erstellen">
                <anchor moveWithCells="1" sizeWithCells="1">
                  <from>
                    <xdr:col>12</xdr:col>
                    <xdr:colOff>57150</xdr:colOff>
                    <xdr:row>2</xdr:row>
                    <xdr:rowOff>47625</xdr:rowOff>
                  </from>
                  <to>
                    <xdr:col>14</xdr:col>
                    <xdr:colOff>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Button 3">
              <controlPr defaultSize="0" print="0" autoFill="0" autoPict="0" macro="[0]!AllePDFspeichern">
                <anchor moveWithCells="1" sizeWithCells="1">
                  <from>
                    <xdr:col>12</xdr:col>
                    <xdr:colOff>38100</xdr:colOff>
                    <xdr:row>6</xdr:row>
                    <xdr:rowOff>95250</xdr:rowOff>
                  </from>
                  <to>
                    <xdr:col>13</xdr:col>
                    <xdr:colOff>666750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Button 4">
              <controlPr defaultSize="0" print="0" autoFill="0" autoPict="0" macro="[0]!SpeichernalsPDF">
                <anchor moveWithCells="1" sizeWithCells="1">
                  <from>
                    <xdr:col>14</xdr:col>
                    <xdr:colOff>180975</xdr:colOff>
                    <xdr:row>2</xdr:row>
                    <xdr:rowOff>47625</xdr:rowOff>
                  </from>
                  <to>
                    <xdr:col>16</xdr:col>
                    <xdr:colOff>123825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Button 5">
              <controlPr defaultSize="0" print="0" autoFill="0" autoPict="0" macro="[0]!PDF_und_Senden">
                <anchor moveWithCells="1" sizeWithCells="1">
                  <from>
                    <xdr:col>14</xdr:col>
                    <xdr:colOff>57150</xdr:colOff>
                    <xdr:row>6</xdr:row>
                    <xdr:rowOff>47625</xdr:rowOff>
                  </from>
                  <to>
                    <xdr:col>16</xdr:col>
                    <xdr:colOff>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Button 6">
              <controlPr defaultSize="0" print="0" autoFill="0" autoPict="0" macro="[0]!AllePDFspeichern">
                <anchor moveWithCells="1" sizeWithCells="1">
                  <from>
                    <xdr:col>16</xdr:col>
                    <xdr:colOff>123825</xdr:colOff>
                    <xdr:row>6</xdr:row>
                    <xdr:rowOff>76200</xdr:rowOff>
                  </from>
                  <to>
                    <xdr:col>18</xdr:col>
                    <xdr:colOff>66675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44A3D-0148-437D-AE68-1C43B2DC2CD9}">
  <sheetPr codeName="Tabelle12"/>
  <dimension ref="A1:L7"/>
  <sheetViews>
    <sheetView workbookViewId="0">
      <selection activeCell="C2" sqref="C2"/>
    </sheetView>
  </sheetViews>
  <sheetFormatPr baseColWidth="10" defaultRowHeight="14.25" x14ac:dyDescent="0.2"/>
  <cols>
    <col min="2" max="2" width="50.125" customWidth="1"/>
    <col min="4" max="4" width="19.125" bestFit="1" customWidth="1"/>
    <col min="5" max="5" width="31.125" bestFit="1" customWidth="1"/>
    <col min="6" max="6" width="17.5" bestFit="1" customWidth="1"/>
    <col min="7" max="7" width="15.75" bestFit="1" customWidth="1"/>
    <col min="8" max="8" width="25.125" bestFit="1" customWidth="1"/>
    <col min="9" max="9" width="25.875" bestFit="1" customWidth="1"/>
    <col min="10" max="10" width="19.625" bestFit="1" customWidth="1"/>
    <col min="12" max="13" width="22.5" bestFit="1" customWidth="1"/>
  </cols>
  <sheetData>
    <row r="1" spans="1:12" ht="171" x14ac:dyDescent="0.2">
      <c r="A1" t="s">
        <v>82</v>
      </c>
      <c r="B1" s="69" t="str">
        <f>D1&amp;CHAR(10)&amp;E1&amp;CHAR(10)&amp;F1&amp;CHAR(10)&amp;G1&amp;CHAR(10)&amp;H1&amp;CHAR(10)&amp;I1&amp;CHAR(10)&amp;J1&amp;CHAR(10)&amp;CHAR(10)&amp;CHAR(10)&amp;K1&amp;CHAR(10)&amp;L1&amp;CHAR(10)</f>
        <v xml:space="preserve">Wöchentlich:
Reinigung des Treppenhauses
Ränder &amp;  Geländer
Hauseingangstüre
Briefkästen und Klingelanlage
Hauseingansmatte (abkehren)
Spinnwebenentfernung
Monatlich:
Reinigung der Kellergänge
</v>
      </c>
      <c r="D1" t="s">
        <v>90</v>
      </c>
      <c r="E1" t="s">
        <v>83</v>
      </c>
      <c r="F1" t="s">
        <v>91</v>
      </c>
      <c r="G1" t="s">
        <v>84</v>
      </c>
      <c r="H1" t="s">
        <v>85</v>
      </c>
      <c r="I1" t="s">
        <v>86</v>
      </c>
      <c r="J1" t="s">
        <v>87</v>
      </c>
      <c r="K1" t="s">
        <v>89</v>
      </c>
      <c r="L1" t="s">
        <v>88</v>
      </c>
    </row>
    <row r="2" spans="1:12" ht="299.25" x14ac:dyDescent="0.2">
      <c r="A2" t="s">
        <v>76</v>
      </c>
      <c r="B2" s="69" t="str">
        <f>D1&amp;CHAR(10)&amp;E1&amp;CHAR(10)&amp;F1&amp;CHAR(10)&amp;G1&amp;CHAR(10)&amp;H1&amp;CHAR(10)&amp;I1&amp;CHAR(10)&amp;J1&amp;CHAR(10)&amp;CHAR(10)&amp;CHAR(10)&amp;K1&amp;CHAR(10)&amp;L1&amp;CHAR(10)&amp;CHAR(10)&amp;D2&amp;CHAR(10)&amp;E2&amp;CHAR(10)&amp;F2&amp;CHAR(10)&amp;G2&amp;CHAR(10)&amp;H2&amp;CHAR(10)&amp;I2&amp;CHAR(10)&amp;J2&amp;CHAR(10)</f>
        <v xml:space="preserve">Wöchentlich:
Reinigung des Treppenhauses
Ränder &amp;  Geländer
Hauseingangstüre
Briefkästen und Klingelanlage
Hauseingansmatte (abkehren)
Spinnwebenentfernung
Monatlich:
Reinigung der Kellergänge
Zusätzliche Leistungen: 
monaltiche Reinigung der Tiefgarage
test
</v>
      </c>
      <c r="D2" t="s">
        <v>93</v>
      </c>
      <c r="E2" t="s">
        <v>94</v>
      </c>
      <c r="F2" t="s">
        <v>96</v>
      </c>
    </row>
    <row r="3" spans="1:12" ht="285" x14ac:dyDescent="0.2">
      <c r="A3" t="s">
        <v>77</v>
      </c>
      <c r="B3" s="69" t="str">
        <f>D1&amp;CHAR(10)&amp;E1&amp;CHAR(10)&amp;F1&amp;CHAR(10)&amp;G1&amp;CHAR(10)&amp;H1&amp;CHAR(10)&amp;I1&amp;CHAR(10)&amp;J1&amp;CHAR(10)&amp;CHAR(10)&amp;CHAR(10)&amp;K1&amp;CHAR(10)&amp;L1&amp;CHAR(10)&amp;CHAR(10)&amp;D3&amp;CHAR(10)&amp;E3&amp;CHAR(10)&amp;F3&amp;CHAR(10)&amp;G3&amp;CHAR(10)&amp;H3&amp;CHAR(10)&amp;I3&amp;CHAR(10)&amp;J3&amp;CHAR(10)</f>
        <v xml:space="preserve">Wöchentlich:
Reinigung des Treppenhauses
Ränder &amp;  Geländer
Hauseingangstüre
Briefkästen und Klingelanlage
Hauseingansmatte (abkehren)
Spinnwebenentfernung
Monatlich:
Reinigung der Kellergänge
Zusätzliche Leistungen: 
Reinigung der Fenster
test 2
</v>
      </c>
      <c r="D3" t="s">
        <v>93</v>
      </c>
      <c r="E3" t="s">
        <v>95</v>
      </c>
      <c r="F3" t="s">
        <v>97</v>
      </c>
    </row>
    <row r="4" spans="1:12" ht="213.75" x14ac:dyDescent="0.2">
      <c r="A4" t="s">
        <v>78</v>
      </c>
      <c r="B4" s="69" t="str">
        <f>D1&amp;CHAR(10)&amp;E1&amp;CHAR(10)&amp;F1&amp;CHAR(10)&amp;G1&amp;CHAR(10)&amp;H1&amp;CHAR(10)&amp;I1&amp;CHAR(10)&amp;J1&amp;CHAR(10)&amp;CHAR(10)&amp;CHAR(10)&amp;K1&amp;CHAR(10)&amp;L1&amp;CHAR(10)&amp;CHAR(10)&amp;D4&amp;CHAR(10)&amp;E4&amp;CHAR(10)</f>
        <v xml:space="preserve">Wöchentlich:
Reinigung des Treppenhauses
Ränder &amp;  Geländer
Hauseingangstüre
Briefkästen und Klingelanlage
Hauseingansmatte (abkehren)
Spinnwebenentfernung
Monatlich:
Reinigung der Kellergänge
Zusätzliche Leistungen: 
Reinigung der Tiefgarage
</v>
      </c>
      <c r="D4" t="s">
        <v>93</v>
      </c>
      <c r="E4" t="s">
        <v>92</v>
      </c>
    </row>
    <row r="5" spans="1:12" x14ac:dyDescent="0.2">
      <c r="A5" t="s">
        <v>79</v>
      </c>
      <c r="B5" s="69"/>
      <c r="D5" t="s">
        <v>93</v>
      </c>
      <c r="E5" t="s">
        <v>92</v>
      </c>
    </row>
    <row r="6" spans="1:12" x14ac:dyDescent="0.2">
      <c r="A6" t="s">
        <v>80</v>
      </c>
      <c r="B6" s="69"/>
      <c r="D6" t="s">
        <v>93</v>
      </c>
      <c r="E6" t="s">
        <v>92</v>
      </c>
    </row>
    <row r="7" spans="1:12" x14ac:dyDescent="0.2">
      <c r="A7" t="s">
        <v>81</v>
      </c>
      <c r="B7" s="69"/>
      <c r="D7" t="s">
        <v>93</v>
      </c>
      <c r="E7" t="s">
        <v>92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TM16410227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Kunden</vt:lpstr>
      <vt:lpstr> Mitarbeiter</vt:lpstr>
      <vt:lpstr>160</vt:lpstr>
      <vt:lpstr>Leistungen</vt:lpstr>
      <vt:lpstr>'160'!Druckbereich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2023-05-05T10:53:13Z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